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35" windowWidth="15480" windowHeight="11610" tabRatio="732" activeTab="0"/>
  </bookViews>
  <sheets>
    <sheet name="Summary - final" sheetId="1" r:id="rId1"/>
    <sheet name="Map" sheetId="2" r:id="rId2"/>
    <sheet name="Balis" sheetId="3" r:id="rId3"/>
    <sheet name="Bethesda" sheetId="4" r:id="rId4"/>
    <sheet name="Blue Cypress " sheetId="5" r:id="rId5"/>
    <sheet name="Carvill" sheetId="6" r:id="rId6"/>
    <sheet name="Cecil Gym" sheetId="7" r:id="rId7"/>
    <sheet name="Cecil Rec." sheetId="8" r:id="rId8"/>
    <sheet name="CT Brown" sheetId="9" r:id="rId9"/>
    <sheet name="Cuba Hunter" sheetId="10" r:id="rId10"/>
    <sheet name="Dinsmore  " sheetId="11" r:id="rId11"/>
    <sheet name="E. B. Ford" sheetId="12" r:id="rId12"/>
    <sheet name="Emmett Reed " sheetId="13" r:id="rId13"/>
    <sheet name="Forestview " sheetId="14" r:id="rId14"/>
    <sheet name="HT Jones " sheetId="15" r:id="rId15"/>
    <sheet name="Johnnie Walker " sheetId="16" r:id="rId16"/>
    <sheet name="Julian Barrs " sheetId="17" r:id="rId17"/>
    <sheet name="ML Gibbs " sheetId="18" r:id="rId18"/>
    <sheet name="McGirts" sheetId="19" r:id="rId19"/>
    <sheet name="Legends" sheetId="20" r:id="rId20"/>
    <sheet name="Oceanway " sheetId="21" r:id="rId21"/>
    <sheet name="Kennedy " sheetId="22" r:id="rId22"/>
    <sheet name="Windy Hill" sheetId="23" r:id="rId23"/>
    <sheet name="Mitchell" sheetId="24" r:id="rId24"/>
  </sheets>
  <definedNames>
    <definedName name="_xlnm.Print_Area" localSheetId="0">'Summary - final'!$A$1:$AB$75</definedName>
    <definedName name="_xlnm.Print_Titles" localSheetId="0">'Summary - final'!$1:$2</definedName>
  </definedNames>
  <calcPr fullCalcOnLoad="1"/>
</workbook>
</file>

<file path=xl/sharedStrings.xml><?xml version="1.0" encoding="utf-8"?>
<sst xmlns="http://schemas.openxmlformats.org/spreadsheetml/2006/main" count="941" uniqueCount="378">
  <si>
    <t>Employee</t>
  </si>
  <si>
    <t>Fitness</t>
  </si>
  <si>
    <t>Superintendent</t>
  </si>
  <si>
    <t>Total</t>
  </si>
  <si>
    <t>Summer Camp</t>
  </si>
  <si>
    <t>Fitness Amount</t>
  </si>
  <si>
    <t>Total Program Cost</t>
  </si>
  <si>
    <t>Home School</t>
  </si>
  <si>
    <t>Recreation Specialist</t>
  </si>
  <si>
    <t>Homeschool Fitness</t>
  </si>
  <si>
    <t>Seniors Amount</t>
  </si>
  <si>
    <t>Teen</t>
  </si>
  <si>
    <t>Program Costs</t>
  </si>
  <si>
    <t>Summer Camp Counselors</t>
  </si>
  <si>
    <t>Teen Amount</t>
  </si>
  <si>
    <t>Program Manager</t>
  </si>
  <si>
    <t>Recreation Specialist Salary</t>
  </si>
  <si>
    <t xml:space="preserve">Recreation Specialist Benefits </t>
  </si>
  <si>
    <t xml:space="preserve">Recreation Leader Benefits </t>
  </si>
  <si>
    <t>Special Needs</t>
  </si>
  <si>
    <t>Special Needs Amount</t>
  </si>
  <si>
    <t>Recreation Leader Salary</t>
  </si>
  <si>
    <t>GOA Amount</t>
  </si>
  <si>
    <t>Holiday Camps</t>
  </si>
  <si>
    <t>Program Coordinator Hall</t>
  </si>
  <si>
    <t>Program Coordinator Coleman</t>
  </si>
  <si>
    <t>Program Coordinator Taylor</t>
  </si>
  <si>
    <t>GOA</t>
  </si>
  <si>
    <t xml:space="preserve">Senior  Supervisor                    </t>
  </si>
  <si>
    <t>Supplies Services</t>
  </si>
  <si>
    <t>Adults</t>
  </si>
  <si>
    <t>Supplies/Services</t>
  </si>
  <si>
    <t>Recreation Leader - Part Time</t>
  </si>
  <si>
    <t>Recreation Leader Part time</t>
  </si>
  <si>
    <t>CD</t>
  </si>
  <si>
    <t>Zip Code</t>
  </si>
  <si>
    <t>Center</t>
  </si>
  <si>
    <t>Address</t>
  </si>
  <si>
    <t>Category</t>
  </si>
  <si>
    <t>Locator #</t>
  </si>
  <si>
    <t>Balis</t>
  </si>
  <si>
    <t>Bethesda</t>
  </si>
  <si>
    <t>Beverly Hills</t>
  </si>
  <si>
    <t>Blue Cypress</t>
  </si>
  <si>
    <t>Burnett Center</t>
  </si>
  <si>
    <t>Carvill</t>
  </si>
  <si>
    <t>Cecil Recreation</t>
  </si>
  <si>
    <t>Charles Clark</t>
  </si>
  <si>
    <t>Dinsmore</t>
  </si>
  <si>
    <t>Edith B. Ford</t>
  </si>
  <si>
    <t>Forestview</t>
  </si>
  <si>
    <t>H.T. Jones</t>
  </si>
  <si>
    <t>Johnnie Walker</t>
  </si>
  <si>
    <t>Joseph Lee</t>
  </si>
  <si>
    <t>Julian Barrs</t>
  </si>
  <si>
    <t>M.L. Gibbs</t>
  </si>
  <si>
    <t>McGirts</t>
  </si>
  <si>
    <t>Murray Hill Art</t>
  </si>
  <si>
    <t>Windy Hill</t>
  </si>
  <si>
    <t>Cuba Hunter</t>
  </si>
  <si>
    <t>Oceanway</t>
  </si>
  <si>
    <t>Eastside</t>
  </si>
  <si>
    <t>Glen Myra</t>
  </si>
  <si>
    <t>Simonds Johnson</t>
  </si>
  <si>
    <t>Westside</t>
  </si>
  <si>
    <t>Beachwood</t>
  </si>
  <si>
    <t>Black Hammock</t>
  </si>
  <si>
    <t>Cisco Gardens</t>
  </si>
  <si>
    <t>Joe James</t>
  </si>
  <si>
    <t>Lake Newman</t>
  </si>
  <si>
    <t>Lillian Saunders</t>
  </si>
  <si>
    <t>Normandy</t>
  </si>
  <si>
    <t>Sunny Acres</t>
  </si>
  <si>
    <t>Westbrook</t>
  </si>
  <si>
    <t>Harts Road</t>
  </si>
  <si>
    <t>Mayport</t>
  </si>
  <si>
    <t>Forest Park</t>
  </si>
  <si>
    <t>Russell Bill Cook</t>
  </si>
  <si>
    <t>Scott Park</t>
  </si>
  <si>
    <t>Clanzel T. Brown</t>
  </si>
  <si>
    <t>10790 Key Haven Blvd.</t>
  </si>
  <si>
    <t>4012 University Blvd.</t>
  </si>
  <si>
    <t>3740 Burnett Park Road</t>
  </si>
  <si>
    <t>1302 Carvill Avenue</t>
  </si>
  <si>
    <t>13951 Normandy Blvd.</t>
  </si>
  <si>
    <t>8793 Sibbald Road</t>
  </si>
  <si>
    <t>11751 McCormick Road</t>
  </si>
  <si>
    <t>3856 Grant Road</t>
  </si>
  <si>
    <t>6974 Wilson Boulevard</t>
  </si>
  <si>
    <t>12215 Sago Avenue W.</t>
  </si>
  <si>
    <t>10445 Anders Blvd.</t>
  </si>
  <si>
    <t>4830 Bedford Road</t>
  </si>
  <si>
    <t>4545 Moncrief Road</t>
  </si>
  <si>
    <t>3133 Lenox Ave.</t>
  </si>
  <si>
    <t>3730 Moncrief Road</t>
  </si>
  <si>
    <t>15770 Sawpit Road</t>
  </si>
  <si>
    <t>4238 Jones Road</t>
  </si>
  <si>
    <t>4131 Ferber Road</t>
  </si>
  <si>
    <t>13851 Lake Newman St.</t>
  </si>
  <si>
    <t>2750 Bartley Circle</t>
  </si>
  <si>
    <t>1751 Lindsey Road</t>
  </si>
  <si>
    <t>9424 Ft. Caroline Road</t>
  </si>
  <si>
    <t>12399 Harts Road</t>
  </si>
  <si>
    <t>3800 Jones St.</t>
  </si>
  <si>
    <t>2745 Hamilton Circle</t>
  </si>
  <si>
    <t>1083 Line St.</t>
  </si>
  <si>
    <t>4511 Portsmouth Dr.</t>
  </si>
  <si>
    <t>4203 Kenndle Dr.</t>
  </si>
  <si>
    <t>11758 Marina Dr.</t>
  </si>
  <si>
    <t>1513 LaSalle St.</t>
  </si>
  <si>
    <t>2839 West Beaver St.</t>
  </si>
  <si>
    <t>1093 West 6th St.</t>
  </si>
  <si>
    <t>2500 West 20th St.</t>
  </si>
  <si>
    <t>5120 Perry St.</t>
  </si>
  <si>
    <t>8435 118th St.</t>
  </si>
  <si>
    <t>4327 Kerle St.</t>
  </si>
  <si>
    <t>1133 Ionia St.</t>
  </si>
  <si>
    <t>1050 Franklin St.</t>
  </si>
  <si>
    <t>1429 Winthrop St.</t>
  </si>
  <si>
    <t>1010 Acorn St.</t>
  </si>
  <si>
    <t>1631 Hurst St.</t>
  </si>
  <si>
    <t>905 Westbrook St.</t>
  </si>
  <si>
    <t>4870 Ocean St.</t>
  </si>
  <si>
    <t>2039 Forest St.</t>
  </si>
  <si>
    <t>13531 Lake Newman St.</t>
  </si>
  <si>
    <t>9800 Crystal Springs Rd.</t>
  </si>
  <si>
    <t>Community-Staffed
Community/Senior
Partnership Agreements
Community-Unstaffed</t>
  </si>
  <si>
    <t>Robert Kennedy</t>
  </si>
  <si>
    <t>Mallison</t>
  </si>
  <si>
    <t>Ft. Caroline</t>
  </si>
  <si>
    <t>Partner Centers</t>
  </si>
  <si>
    <t>Meeting Facilities Only</t>
  </si>
  <si>
    <t>Facilities Unavailable</t>
  </si>
  <si>
    <t>Ed Austin</t>
  </si>
  <si>
    <t xml:space="preserve">Castaway Island </t>
  </si>
  <si>
    <t xml:space="preserve">Camp Milton </t>
  </si>
  <si>
    <t>Tillie K. Fowler</t>
  </si>
  <si>
    <t xml:space="preserve">Mitchell </t>
  </si>
  <si>
    <t>1175 Halsema Road N.</t>
  </si>
  <si>
    <t>7000 Roosevelt Blvd.</t>
  </si>
  <si>
    <t>2885 San Pable Road</t>
  </si>
  <si>
    <t>Speciality Programming</t>
  </si>
  <si>
    <t>Community Meetings</t>
  </si>
  <si>
    <t>Gymnasium</t>
  </si>
  <si>
    <t>Special Events</t>
  </si>
  <si>
    <t>Teens</t>
  </si>
  <si>
    <t>Total Operational Cost</t>
  </si>
  <si>
    <t>Subtotal</t>
  </si>
  <si>
    <t>Mgmt. Admin. Program Costs</t>
  </si>
  <si>
    <t>No maintenance costs included</t>
  </si>
  <si>
    <t>Specialist/Leader Administrative Cost (Salary w. benefits minus prg. Cost)</t>
  </si>
  <si>
    <t>All Program Labor Cost</t>
  </si>
  <si>
    <t>Seniors</t>
  </si>
  <si>
    <t>Dance</t>
  </si>
  <si>
    <t>Dance Amount</t>
  </si>
  <si>
    <t>Recreation staff currently performs all custodial work.</t>
  </si>
  <si>
    <t>x</t>
  </si>
  <si>
    <t>Homeschool/Preschool Amount</t>
  </si>
  <si>
    <t>Senior</t>
  </si>
  <si>
    <t>Fitness/Gym</t>
  </si>
  <si>
    <t xml:space="preserve">Emmett Reed </t>
  </si>
  <si>
    <t>Fitness/Gym Amount</t>
  </si>
  <si>
    <t>Recreation  Leader - Part time</t>
  </si>
  <si>
    <t xml:space="preserve">4 hr x $10.15 x 248 days  </t>
  </si>
  <si>
    <t>Camp Counselors</t>
  </si>
  <si>
    <t xml:space="preserve">Recreation Leader- Part Time </t>
  </si>
  <si>
    <t>Homeschool Fitness   Amount</t>
  </si>
  <si>
    <t>7136 Civic Club Dr.</t>
  </si>
  <si>
    <t>*</t>
  </si>
  <si>
    <t>Recreation Supervisor</t>
  </si>
  <si>
    <t>CSA III</t>
  </si>
  <si>
    <t>Recreation Specialist Salary (C. Jackson)</t>
  </si>
  <si>
    <t>Note:  Staffing cost includes benefits</t>
  </si>
  <si>
    <t>**Summer camp was listed under Cecil Center</t>
  </si>
  <si>
    <t>Mommy and me</t>
  </si>
  <si>
    <t>Mommy and Me Amount</t>
  </si>
  <si>
    <t>Homeschool PE</t>
  </si>
  <si>
    <t>Home school Amount</t>
  </si>
  <si>
    <t>Homeschool Art</t>
  </si>
  <si>
    <t>Home School Art</t>
  </si>
  <si>
    <t>Senior Coffee Time Out</t>
  </si>
  <si>
    <t>Sr. Coffee Time</t>
  </si>
  <si>
    <t>Great Outdoor Adventure (GOA)</t>
  </si>
  <si>
    <t>Sports Spec Camps</t>
  </si>
  <si>
    <t>Holiday Celebration</t>
  </si>
  <si>
    <t>Events/ Rentals/ Meetings</t>
  </si>
  <si>
    <t>Admin. Cost</t>
  </si>
  <si>
    <t>Program Labor Cost</t>
  </si>
  <si>
    <t>Naturalist</t>
  </si>
  <si>
    <t>Program Labor Subtotal</t>
  </si>
  <si>
    <t>Mgmt. Administrative Costs</t>
  </si>
  <si>
    <t>Supervisor</t>
  </si>
  <si>
    <t>All Operating Costs</t>
  </si>
  <si>
    <t>Mgmt. Admin. Cost</t>
  </si>
  <si>
    <t>Program Admin. Cost</t>
  </si>
  <si>
    <t>Program Admin. Supplies</t>
  </si>
  <si>
    <t>Comm Ctr &amp; SB Complex</t>
  </si>
  <si>
    <t>Total All Admin. Cost</t>
  </si>
  <si>
    <t>CSA III Salary 40%</t>
  </si>
  <si>
    <t>60% Aquatic Center</t>
  </si>
  <si>
    <t>CSA III Benefits 40%</t>
  </si>
  <si>
    <t>60%Aquatic Center</t>
  </si>
  <si>
    <t>Recreation Supervisor Salary 50%</t>
  </si>
  <si>
    <t>50% at Gym &amp; Fit Ctr</t>
  </si>
  <si>
    <t>Recreation Supervisor Ben 50%</t>
  </si>
  <si>
    <t>Rec Superintendent Salary 20%</t>
  </si>
  <si>
    <t>80% Aquat &amp; Cec South</t>
  </si>
  <si>
    <t>Rec Superintendent Benefits 20%</t>
  </si>
  <si>
    <t>Athletic Mananger Salary 5%</t>
  </si>
  <si>
    <t>5% Cecil South</t>
  </si>
  <si>
    <t>Athletic Mananger Benefits 5%</t>
  </si>
  <si>
    <t>Total Program Admin. costs</t>
  </si>
  <si>
    <t>Total Operating Costs</t>
  </si>
  <si>
    <t>Less Total  Program cost</t>
  </si>
  <si>
    <t>Less Mgmt. Administrative Cost</t>
  </si>
  <si>
    <t>Other Operating Costs</t>
  </si>
  <si>
    <t>Minus</t>
  </si>
  <si>
    <t xml:space="preserve"> SB Complex Oper Costs of $19,815</t>
  </si>
  <si>
    <t>Program Cost for Rec Spec and Rec L'der includes set-up, breakdown, etc</t>
  </si>
  <si>
    <t>Per participant cost for Summer Camp includes staff cost and all supplies and services</t>
  </si>
  <si>
    <t>Attendance for rentals is an average of total visits/by # of rentals</t>
  </si>
  <si>
    <t>Other was Softball complex</t>
  </si>
  <si>
    <t>Adults Amount</t>
  </si>
  <si>
    <t>Homeschool/ Preschool Amount</t>
  </si>
  <si>
    <t>Homeschool/ Preschool</t>
  </si>
  <si>
    <t>Specialist/Leader Administrative Cost (Salary w. benefits minus prg. cost)</t>
  </si>
  <si>
    <t>5130 Soutel Drive</t>
  </si>
  <si>
    <t>Free fitness facility</t>
  </si>
  <si>
    <t>* 12 dances per year</t>
  </si>
  <si>
    <t>All Staff Costs*</t>
  </si>
  <si>
    <t>All Staff Costs includes program, administrative and custodial costs.</t>
  </si>
  <si>
    <t>**</t>
  </si>
  <si>
    <t>Overtime Costs includes reimbursed overtime</t>
  </si>
  <si>
    <t>***</t>
  </si>
  <si>
    <t>Summer Night Lights Cost not included in Total Operational Cost</t>
  </si>
  <si>
    <t>Recreation Leader PT</t>
  </si>
  <si>
    <t>Summer Camp Counselor</t>
  </si>
  <si>
    <t>Administrative Staff Cost</t>
  </si>
  <si>
    <t>Administrative Staff Costs</t>
  </si>
  <si>
    <t>Recreation Leader Salary PT</t>
  </si>
  <si>
    <t>Part time Recreation Leader</t>
  </si>
  <si>
    <t>Part Time Recreation Leader</t>
  </si>
  <si>
    <t>Fitness/ Gym</t>
  </si>
  <si>
    <t>Summer Camp Counselor*</t>
  </si>
  <si>
    <t>Recreation Leader ( Clark, J)</t>
  </si>
  <si>
    <t>Recreation Leader ( Tisdale, S)</t>
  </si>
  <si>
    <t>Recreation Leader ( Burden, Alton)</t>
  </si>
  <si>
    <t>25 x 9.85 x 52weeks</t>
  </si>
  <si>
    <t xml:space="preserve">80% of 57998.68 </t>
  </si>
  <si>
    <t>100% of 36922.89</t>
  </si>
  <si>
    <t>20% of 67336.23</t>
  </si>
  <si>
    <t>5% of 74,452.79</t>
  </si>
  <si>
    <t>Recreation Leader Salary  (Clark)</t>
  </si>
  <si>
    <t>Recreation Leader Salary (Tisdale)</t>
  </si>
  <si>
    <t>Recreation Leader Salary (Burton)</t>
  </si>
  <si>
    <t>*** Revenue Producing Facility - Daily Entrance Fees and Annual Memberships FY 10/11 $103,450.00</t>
  </si>
  <si>
    <t>3hrs x 19.94 x 22 days</t>
  </si>
  <si>
    <t>0hrs x 19.94</t>
  </si>
  <si>
    <t>96hrs x $19.94</t>
  </si>
  <si>
    <t>3.5hrs x 19.94 x 25days</t>
  </si>
  <si>
    <t>1% of 57,998.68</t>
  </si>
  <si>
    <t>2% of 57,998.68</t>
  </si>
  <si>
    <t>.05 % of 57,998.68</t>
  </si>
  <si>
    <t>5% of 38,729.54</t>
  </si>
  <si>
    <t>1% of 38,729.54</t>
  </si>
  <si>
    <t>1% of 67,336.23</t>
  </si>
  <si>
    <t>2% of 67,336.23</t>
  </si>
  <si>
    <t>.05% of 67,336.23</t>
  </si>
  <si>
    <t>Athletic Manager</t>
  </si>
  <si>
    <t>3hrs x 36.76 per hr</t>
  </si>
  <si>
    <t xml:space="preserve">25 x 12.29x 52 weeks </t>
  </si>
  <si>
    <t xml:space="preserve">25 x 10.27x 52 weeks </t>
  </si>
  <si>
    <t>Administrative Cost</t>
  </si>
  <si>
    <t xml:space="preserve">40 x 21.25x 52 weeks </t>
  </si>
  <si>
    <t>Attendance FY 12</t>
  </si>
  <si>
    <t>Total Visits FY 12</t>
  </si>
  <si>
    <t>Cost per participant FY 12</t>
  </si>
  <si>
    <t>M3 Zone</t>
  </si>
  <si>
    <t>M3 Zone Amount</t>
  </si>
  <si>
    <t>M3 Zone/TNT</t>
  </si>
  <si>
    <t>Recreation Leader - Part-time</t>
  </si>
  <si>
    <t>5 hr. x $26.90 x 24 days</t>
  </si>
  <si>
    <t xml:space="preserve">2 hr. x  $26.90 x 48 days </t>
  </si>
  <si>
    <t>4 hr x $20.01 x 180 days</t>
  </si>
  <si>
    <t>4 hr x $26.00 x 180 days</t>
  </si>
  <si>
    <t>2 hr x 26.00 x  248 days</t>
  </si>
  <si>
    <t>1 hr x $9.95 x 180 days</t>
  </si>
  <si>
    <t>3 hr x $26.00 x 46 days</t>
  </si>
  <si>
    <t xml:space="preserve">2 hr x $14.34 x 180 days </t>
  </si>
  <si>
    <t>4 hr x $14.34 x 52 wks</t>
  </si>
  <si>
    <t>25 hr x $9.95 x 52 wk</t>
  </si>
  <si>
    <t>25 hr x $9.95  x 52 wk</t>
  </si>
  <si>
    <t>4 hr. x $26.90 x 188 days</t>
  </si>
  <si>
    <t xml:space="preserve">Recreation Specialist </t>
  </si>
  <si>
    <t xml:space="preserve">25 hr x $9.95 x 8 wks </t>
  </si>
  <si>
    <t>4 hr x $26.62 x 180 days</t>
  </si>
  <si>
    <t>2 hr x $26.62x 180 days</t>
  </si>
  <si>
    <t xml:space="preserve">8 hr. x $16.93 x 248 days </t>
  </si>
  <si>
    <t xml:space="preserve">4 hr. x $17.20 x 248 days </t>
  </si>
  <si>
    <t xml:space="preserve">4 hr. x $10.15x 248 days </t>
  </si>
  <si>
    <t xml:space="preserve">4 hr. x $9.95 x 248 days </t>
  </si>
  <si>
    <t>25 hr X $9.95 x 52 wks</t>
  </si>
  <si>
    <t>Hugenot Nature Ctr.</t>
  </si>
  <si>
    <t>10980 Hecksher Drive</t>
  </si>
  <si>
    <t>Open during programs only</t>
  </si>
  <si>
    <t>Houses live animal collection</t>
  </si>
  <si>
    <t xml:space="preserve">Huguenot Nature Center </t>
  </si>
  <si>
    <t>Utilities cost for Center</t>
  </si>
  <si>
    <t xml:space="preserve">office and building Supplies </t>
  </si>
  <si>
    <t>Other Operational Cost</t>
  </si>
  <si>
    <t>Service for the Center</t>
  </si>
  <si>
    <t>Sub-Total</t>
  </si>
  <si>
    <t>Recreation Leader P-T</t>
  </si>
  <si>
    <t xml:space="preserve">Labor Cost </t>
  </si>
  <si>
    <t>Cost</t>
  </si>
  <si>
    <t>Recreation  Leader- PT</t>
  </si>
  <si>
    <t>5 hr. x $10.00 x 24 days</t>
  </si>
  <si>
    <t>4 hr. x $10.00 x 188days</t>
  </si>
  <si>
    <t xml:space="preserve">2 hr. x  $10.00  x 48 days </t>
  </si>
  <si>
    <t>McGirt Cost Analysis</t>
  </si>
  <si>
    <t>Oceanway Cost Analysis</t>
  </si>
  <si>
    <t>Education Facilitator P-T</t>
  </si>
  <si>
    <t>Part time Hours</t>
  </si>
  <si>
    <t>Total Part time Hours</t>
  </si>
  <si>
    <t>2 hr x $26.00 x 180 days</t>
  </si>
  <si>
    <t xml:space="preserve">4 hr x $20.01 x 248  wks </t>
  </si>
  <si>
    <t>2 hr x $20.01 x 180 days</t>
  </si>
  <si>
    <t>2 hr x $20.01 x 52 wks.</t>
  </si>
  <si>
    <t>Janitor W/Benefits</t>
  </si>
  <si>
    <t>Afterschool open recreation</t>
  </si>
  <si>
    <t xml:space="preserve">Afterschool open recreation </t>
  </si>
  <si>
    <t>Community rentals</t>
  </si>
  <si>
    <t>Structured programming</t>
  </si>
  <si>
    <t>Theraputic recreation programming</t>
  </si>
  <si>
    <t>Proposed budgetted recreation centers</t>
  </si>
  <si>
    <t>Priority 1 recreation centers</t>
  </si>
  <si>
    <t>Repurposed Rental Centers</t>
  </si>
  <si>
    <t>Recommended Repurposed Rental Centers</t>
  </si>
  <si>
    <t>Priority 2 Recreation Centers</t>
  </si>
  <si>
    <t>Fee based center</t>
  </si>
  <si>
    <t>Fee based gym</t>
  </si>
  <si>
    <t>Cecil Gym *</t>
  </si>
  <si>
    <t>Legends *</t>
  </si>
  <si>
    <t>High participation levels/community interest; historically lower cost per unit; provides service coverage north and east of the river.</t>
  </si>
  <si>
    <t>Sites provide further expansion of service area coverage; historical specialty program sites i.e. Forestview as adult fitness facility and Mitchell as teen center; historical overflow sites for team up program</t>
  </si>
  <si>
    <t>Low participation and high cost per visit sites.  Costs provided as information only should Council recommend limited youth programming.</t>
  </si>
  <si>
    <t>Specialty/Educational/Nature Facilities</t>
  </si>
  <si>
    <t>Aquatic facility attached to rec center</t>
  </si>
  <si>
    <t>AVG Program Attendance</t>
  </si>
  <si>
    <t>AVG Facility Attendance</t>
  </si>
  <si>
    <t>AVG Cost Per Unit</t>
  </si>
  <si>
    <t>Proposed Use</t>
  </si>
  <si>
    <t>Justification</t>
  </si>
  <si>
    <t>Center Proximity</t>
  </si>
  <si>
    <t>Cuba Hunter &amp; Kennedy ~2 miles</t>
  </si>
  <si>
    <t>Legends ~2.5 miles</t>
  </si>
  <si>
    <t>Kennedy ~4 miles</t>
  </si>
  <si>
    <t>Emmett Reed ~2 miles</t>
  </si>
  <si>
    <t>Legends ~8 miles</t>
  </si>
  <si>
    <t>Bethesda &amp; Legends ~4 miles</t>
  </si>
  <si>
    <t>Legends ~1 mile</t>
  </si>
  <si>
    <t>Cuba Hunter~1/2 mile Balis ~2 miles</t>
  </si>
  <si>
    <t>Emmett Reed ~1 mile/Walker &amp; Brown ~2 miles</t>
  </si>
  <si>
    <t>CT Brown ~1 mile</t>
  </si>
  <si>
    <t>Emmett Reed ~3 miles / J. Walker ~2 miles</t>
  </si>
  <si>
    <t>ML Gibbs ~4 miles / Cecil ~6 miles</t>
  </si>
  <si>
    <t>ML Gibbs ~3 miles / Cecil ~6 miles</t>
  </si>
  <si>
    <t>Cuba Hunter ~5 miles</t>
  </si>
  <si>
    <t>Meeting Facility Only   Unavailable Specialty/Educational</t>
  </si>
  <si>
    <t>Facilities have gymnasiums and multiple rooms allowing for simultaneous programming. *NOTE:  Cecil Gym and Legends are fee based facilities.  ML Gibbs closed for renovation during FY11 &amp; FY12.</t>
  </si>
  <si>
    <t>Facility Cost if Repurposed</t>
  </si>
  <si>
    <t>Current Level Funding (FY13)</t>
  </si>
  <si>
    <t>Subtotal of proposed operations:</t>
  </si>
  <si>
    <t>Proposed budgetted recreation centers PLUS Priority 1</t>
  </si>
  <si>
    <t>Proposed budgetted recreation centers PLUS Priority 1 &amp; 2</t>
  </si>
  <si>
    <t xml:space="preserve">Return to curent level staffing, reduces regional center staffing </t>
  </si>
  <si>
    <t>Proposed budgetted rec centers PLUS Priority 1, 2 &amp; repursposed</t>
  </si>
  <si>
    <t>Restoration Totals: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</si>
</sst>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$&quot;#,##0.00"/>
    <numFmt numFmtId="170" formatCode="_(* #,##0.0_);_(* \(#,##0.0\);_(* &quot;-&quot;??_);_(@_)"/>
    <numFmt numFmtId="171" formatCode="_(* #,##0_);_(* \(#,##0\);_(* &quot;-&quot;??_);_(@_)"/>
    <numFmt numFmtId="172" formatCode="&quot;$&quot;#,##0;[Red]&quot;$&quot;#,##0"/>
    <numFmt numFmtId="173" formatCode="&quot;$&quot;#,##0.0000"/>
    <numFmt numFmtId="174" formatCode="[$-409]dddd\,\ mmmm\ dd\,\ yyyy"/>
    <numFmt numFmtId="175" formatCode="&quot;$&quot;#,##0.0"/>
    <numFmt numFmtId="176" formatCode="[$-409]h:mm:ss\ AM/PM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color indexed="8"/>
      <name val="Arial"/>
      <family val="2"/>
    </font>
    <font>
      <vertAlign val="superscript"/>
      <sz val="10"/>
      <name val="Symbol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>
        <color theme="4" tint="0.5999900102615356"/>
      </left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5999900102615356"/>
      </bottom>
    </border>
    <border>
      <left style="thin">
        <color theme="4" tint="0.5999900102615356"/>
      </left>
      <right style="thin">
        <color theme="4" tint="0.5999900102615356"/>
      </right>
      <top>
        <color indexed="63"/>
      </top>
      <bottom style="thin">
        <color theme="4" tint="0.5999900102615356"/>
      </bottom>
    </border>
    <border>
      <left style="thin">
        <color theme="4" tint="0.5999900102615356"/>
      </left>
      <right>
        <color indexed="63"/>
      </right>
      <top style="thin">
        <color theme="4" tint="0.5999900102615356"/>
      </top>
      <bottom style="thin">
        <color theme="4" tint="0.5999900102615356"/>
      </bottom>
    </border>
    <border>
      <left>
        <color indexed="63"/>
      </left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theme="4" tint="0.5999900102615356"/>
      </left>
      <right style="thin">
        <color theme="4" tint="0.5999900102615356"/>
      </right>
      <top style="thin">
        <color theme="4" tint="0.5999900102615356"/>
      </top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2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6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/>
    </xf>
    <xf numFmtId="6" fontId="5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6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4" fillId="0" borderId="11" xfId="0" applyFont="1" applyFill="1" applyBorder="1" applyAlignment="1">
      <alignment horizontal="center" wrapText="1"/>
    </xf>
    <xf numFmtId="164" fontId="4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164" fontId="4" fillId="0" borderId="13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Alignment="1">
      <alignment horizontal="center" wrapText="1"/>
    </xf>
    <xf numFmtId="0" fontId="5" fillId="0" borderId="14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164" fontId="5" fillId="0" borderId="15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/>
    </xf>
    <xf numFmtId="0" fontId="5" fillId="0" borderId="17" xfId="0" applyFont="1" applyFill="1" applyBorder="1" applyAlignment="1">
      <alignment horizontal="right"/>
    </xf>
    <xf numFmtId="164" fontId="5" fillId="0" borderId="17" xfId="0" applyNumberFormat="1" applyFont="1" applyFill="1" applyBorder="1" applyAlignment="1">
      <alignment/>
    </xf>
    <xf numFmtId="164" fontId="5" fillId="0" borderId="18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42" fontId="5" fillId="0" borderId="0" xfId="0" applyNumberFormat="1" applyFont="1" applyFill="1" applyBorder="1" applyAlignment="1">
      <alignment/>
    </xf>
    <xf numFmtId="42" fontId="4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4" fontId="5" fillId="0" borderId="0" xfId="0" applyNumberFormat="1" applyFont="1" applyFill="1" applyAlignment="1">
      <alignment/>
    </xf>
    <xf numFmtId="164" fontId="5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9" xfId="0" applyFont="1" applyFill="1" applyBorder="1" applyAlignment="1">
      <alignment horizontal="center" wrapText="1"/>
    </xf>
    <xf numFmtId="164" fontId="4" fillId="0" borderId="19" xfId="0" applyNumberFormat="1" applyFont="1" applyFill="1" applyBorder="1" applyAlignment="1">
      <alignment horizontal="center" wrapText="1"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right"/>
    </xf>
    <xf numFmtId="164" fontId="5" fillId="0" borderId="2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2" xfId="0" applyFont="1" applyFill="1" applyBorder="1" applyAlignment="1">
      <alignment horizontal="right"/>
    </xf>
    <xf numFmtId="164" fontId="5" fillId="0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/>
    </xf>
    <xf numFmtId="6" fontId="5" fillId="0" borderId="20" xfId="0" applyNumberFormat="1" applyFont="1" applyFill="1" applyBorder="1" applyAlignment="1">
      <alignment/>
    </xf>
    <xf numFmtId="6" fontId="5" fillId="0" borderId="20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left"/>
    </xf>
    <xf numFmtId="164" fontId="5" fillId="0" borderId="20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right"/>
    </xf>
    <xf numFmtId="164" fontId="5" fillId="0" borderId="24" xfId="0" applyNumberFormat="1" applyFont="1" applyFill="1" applyBorder="1" applyAlignment="1">
      <alignment/>
    </xf>
    <xf numFmtId="6" fontId="5" fillId="0" borderId="24" xfId="0" applyNumberFormat="1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164" fontId="4" fillId="0" borderId="22" xfId="0" applyNumberFormat="1" applyFont="1" applyFill="1" applyBorder="1" applyAlignment="1">
      <alignment/>
    </xf>
    <xf numFmtId="164" fontId="4" fillId="0" borderId="24" xfId="0" applyNumberFormat="1" applyFont="1" applyFill="1" applyBorder="1" applyAlignment="1">
      <alignment/>
    </xf>
    <xf numFmtId="0" fontId="5" fillId="0" borderId="24" xfId="0" applyFont="1" applyFill="1" applyBorder="1" applyAlignment="1">
      <alignment/>
    </xf>
    <xf numFmtId="6" fontId="5" fillId="0" borderId="22" xfId="0" applyNumberFormat="1" applyFont="1" applyFill="1" applyBorder="1" applyAlignment="1">
      <alignment/>
    </xf>
    <xf numFmtId="164" fontId="4" fillId="0" borderId="22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/>
    </xf>
    <xf numFmtId="164" fontId="5" fillId="0" borderId="25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6" fontId="4" fillId="0" borderId="20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left"/>
    </xf>
    <xf numFmtId="0" fontId="5" fillId="0" borderId="27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left"/>
    </xf>
    <xf numFmtId="0" fontId="4" fillId="0" borderId="27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27" xfId="0" applyFont="1" applyFill="1" applyBorder="1" applyAlignment="1">
      <alignment horizontal="left"/>
    </xf>
    <xf numFmtId="0" fontId="6" fillId="0" borderId="28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4" fillId="0" borderId="29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164" fontId="4" fillId="0" borderId="24" xfId="0" applyNumberFormat="1" applyFont="1" applyFill="1" applyBorder="1" applyAlignment="1">
      <alignment horizontal="center" wrapText="1"/>
    </xf>
    <xf numFmtId="0" fontId="5" fillId="0" borderId="28" xfId="0" applyFont="1" applyFill="1" applyBorder="1" applyAlignment="1">
      <alignment wrapText="1"/>
    </xf>
    <xf numFmtId="164" fontId="5" fillId="0" borderId="22" xfId="0" applyNumberFormat="1" applyFont="1" applyFill="1" applyBorder="1" applyAlignment="1">
      <alignment horizontal="right"/>
    </xf>
    <xf numFmtId="0" fontId="5" fillId="33" borderId="27" xfId="0" applyFont="1" applyFill="1" applyBorder="1" applyAlignment="1">
      <alignment/>
    </xf>
    <xf numFmtId="164" fontId="4" fillId="33" borderId="20" xfId="0" applyNumberFormat="1" applyFont="1" applyFill="1" applyBorder="1" applyAlignment="1">
      <alignment horizontal="right"/>
    </xf>
    <xf numFmtId="1" fontId="5" fillId="33" borderId="20" xfId="0" applyNumberFormat="1" applyFont="1" applyFill="1" applyBorder="1" applyAlignment="1">
      <alignment horizontal="right"/>
    </xf>
    <xf numFmtId="1" fontId="5" fillId="33" borderId="20" xfId="0" applyNumberFormat="1" applyFont="1" applyFill="1" applyBorder="1" applyAlignment="1">
      <alignment/>
    </xf>
    <xf numFmtId="0" fontId="5" fillId="33" borderId="27" xfId="0" applyFont="1" applyFill="1" applyBorder="1" applyAlignment="1">
      <alignment horizontal="left"/>
    </xf>
    <xf numFmtId="164" fontId="5" fillId="33" borderId="20" xfId="0" applyNumberFormat="1" applyFont="1" applyFill="1" applyBorder="1" applyAlignment="1">
      <alignment horizontal="right"/>
    </xf>
    <xf numFmtId="0" fontId="5" fillId="33" borderId="20" xfId="0" applyFont="1" applyFill="1" applyBorder="1" applyAlignment="1">
      <alignment/>
    </xf>
    <xf numFmtId="0" fontId="5" fillId="33" borderId="20" xfId="0" applyFont="1" applyFill="1" applyBorder="1" applyAlignment="1">
      <alignment horizontal="right"/>
    </xf>
    <xf numFmtId="164" fontId="5" fillId="33" borderId="20" xfId="0" applyNumberFormat="1" applyFont="1" applyFill="1" applyBorder="1" applyAlignment="1">
      <alignment/>
    </xf>
    <xf numFmtId="3" fontId="5" fillId="33" borderId="20" xfId="0" applyNumberFormat="1" applyFont="1" applyFill="1" applyBorder="1" applyAlignment="1">
      <alignment/>
    </xf>
    <xf numFmtId="0" fontId="4" fillId="33" borderId="26" xfId="0" applyFont="1" applyFill="1" applyBorder="1" applyAlignment="1">
      <alignment horizontal="right"/>
    </xf>
    <xf numFmtId="164" fontId="5" fillId="33" borderId="19" xfId="0" applyNumberFormat="1" applyFont="1" applyFill="1" applyBorder="1" applyAlignment="1">
      <alignment horizontal="right"/>
    </xf>
    <xf numFmtId="0" fontId="4" fillId="33" borderId="19" xfId="0" applyFont="1" applyFill="1" applyBorder="1" applyAlignment="1">
      <alignment wrapText="1"/>
    </xf>
    <xf numFmtId="0" fontId="5" fillId="33" borderId="19" xfId="0" applyFont="1" applyFill="1" applyBorder="1" applyAlignment="1">
      <alignment horizontal="right"/>
    </xf>
    <xf numFmtId="0" fontId="5" fillId="33" borderId="19" xfId="0" applyFont="1" applyFill="1" applyBorder="1" applyAlignment="1">
      <alignment/>
    </xf>
    <xf numFmtId="164" fontId="4" fillId="33" borderId="19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 wrapText="1"/>
    </xf>
    <xf numFmtId="164" fontId="4" fillId="33" borderId="19" xfId="0" applyNumberFormat="1" applyFont="1" applyFill="1" applyBorder="1" applyAlignment="1">
      <alignment horizontal="center" wrapText="1"/>
    </xf>
    <xf numFmtId="164" fontId="4" fillId="33" borderId="30" xfId="0" applyNumberFormat="1" applyFont="1" applyFill="1" applyBorder="1" applyAlignment="1">
      <alignment horizontal="center"/>
    </xf>
    <xf numFmtId="0" fontId="5" fillId="33" borderId="20" xfId="0" applyNumberFormat="1" applyFont="1" applyFill="1" applyBorder="1" applyAlignment="1">
      <alignment/>
    </xf>
    <xf numFmtId="0" fontId="5" fillId="33" borderId="21" xfId="0" applyNumberFormat="1" applyFont="1" applyFill="1" applyBorder="1" applyAlignment="1">
      <alignment/>
    </xf>
    <xf numFmtId="169" fontId="5" fillId="33" borderId="20" xfId="0" applyNumberFormat="1" applyFont="1" applyFill="1" applyBorder="1" applyAlignment="1">
      <alignment/>
    </xf>
    <xf numFmtId="3" fontId="5" fillId="33" borderId="21" xfId="0" applyNumberFormat="1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22" xfId="0" applyFont="1" applyFill="1" applyBorder="1" applyAlignment="1">
      <alignment horizontal="right"/>
    </xf>
    <xf numFmtId="164" fontId="5" fillId="33" borderId="22" xfId="0" applyNumberFormat="1" applyFont="1" applyFill="1" applyBorder="1" applyAlignment="1">
      <alignment/>
    </xf>
    <xf numFmtId="3" fontId="5" fillId="33" borderId="22" xfId="0" applyNumberFormat="1" applyFont="1" applyFill="1" applyBorder="1" applyAlignment="1">
      <alignment/>
    </xf>
    <xf numFmtId="3" fontId="5" fillId="33" borderId="23" xfId="0" applyNumberFormat="1" applyFont="1" applyFill="1" applyBorder="1" applyAlignment="1">
      <alignment/>
    </xf>
    <xf numFmtId="164" fontId="4" fillId="0" borderId="18" xfId="0" applyNumberFormat="1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left"/>
    </xf>
    <xf numFmtId="164" fontId="4" fillId="0" borderId="30" xfId="0" applyNumberFormat="1" applyFont="1" applyFill="1" applyBorder="1" applyAlignment="1">
      <alignment horizontal="center" wrapText="1"/>
    </xf>
    <xf numFmtId="0" fontId="5" fillId="33" borderId="28" xfId="0" applyFont="1" applyFill="1" applyBorder="1" applyAlignment="1">
      <alignment horizontal="left"/>
    </xf>
    <xf numFmtId="164" fontId="45" fillId="33" borderId="31" xfId="0" applyNumberFormat="1" applyFont="1" applyFill="1" applyBorder="1" applyAlignment="1" applyProtection="1">
      <alignment/>
      <protection locked="0"/>
    </xf>
    <xf numFmtId="164" fontId="5" fillId="33" borderId="31" xfId="0" applyNumberFormat="1" applyFont="1" applyFill="1" applyBorder="1" applyAlignment="1">
      <alignment/>
    </xf>
    <xf numFmtId="164" fontId="5" fillId="0" borderId="31" xfId="0" applyNumberFormat="1" applyFont="1" applyFill="1" applyBorder="1" applyAlignment="1">
      <alignment/>
    </xf>
    <xf numFmtId="164" fontId="5" fillId="0" borderId="31" xfId="0" applyNumberFormat="1" applyFont="1" applyFill="1" applyBorder="1" applyAlignment="1">
      <alignment horizontal="right"/>
    </xf>
    <xf numFmtId="0" fontId="5" fillId="33" borderId="31" xfId="0" applyFont="1" applyFill="1" applyBorder="1" applyAlignment="1">
      <alignment horizontal="right"/>
    </xf>
    <xf numFmtId="0" fontId="5" fillId="0" borderId="31" xfId="0" applyFont="1" applyFill="1" applyBorder="1" applyAlignment="1">
      <alignment horizontal="right"/>
    </xf>
    <xf numFmtId="164" fontId="4" fillId="0" borderId="31" xfId="0" applyNumberFormat="1" applyFont="1" applyFill="1" applyBorder="1" applyAlignment="1">
      <alignment/>
    </xf>
    <xf numFmtId="6" fontId="5" fillId="33" borderId="31" xfId="0" applyNumberFormat="1" applyFont="1" applyFill="1" applyBorder="1" applyAlignment="1">
      <alignment/>
    </xf>
    <xf numFmtId="42" fontId="5" fillId="0" borderId="31" xfId="0" applyNumberFormat="1" applyFont="1" applyFill="1" applyBorder="1" applyAlignment="1">
      <alignment horizontal="right"/>
    </xf>
    <xf numFmtId="6" fontId="5" fillId="0" borderId="31" xfId="0" applyNumberFormat="1" applyFont="1" applyFill="1" applyBorder="1" applyAlignment="1">
      <alignment/>
    </xf>
    <xf numFmtId="164" fontId="5" fillId="0" borderId="32" xfId="0" applyNumberFormat="1" applyFont="1" applyFill="1" applyBorder="1" applyAlignment="1">
      <alignment/>
    </xf>
    <xf numFmtId="0" fontId="5" fillId="0" borderId="32" xfId="0" applyFont="1" applyFill="1" applyBorder="1" applyAlignment="1">
      <alignment horizontal="right"/>
    </xf>
    <xf numFmtId="0" fontId="4" fillId="0" borderId="33" xfId="0" applyFont="1" applyFill="1" applyBorder="1" applyAlignment="1">
      <alignment horizontal="center" wrapText="1"/>
    </xf>
    <xf numFmtId="0" fontId="4" fillId="33" borderId="33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right"/>
    </xf>
    <xf numFmtId="0" fontId="5" fillId="33" borderId="34" xfId="0" applyFont="1" applyFill="1" applyBorder="1" applyAlignment="1">
      <alignment horizontal="right"/>
    </xf>
    <xf numFmtId="164" fontId="5" fillId="0" borderId="35" xfId="0" applyNumberFormat="1" applyFont="1" applyFill="1" applyBorder="1" applyAlignment="1">
      <alignment/>
    </xf>
    <xf numFmtId="44" fontId="5" fillId="0" borderId="34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164" fontId="7" fillId="0" borderId="0" xfId="0" applyNumberFormat="1" applyFont="1" applyFill="1" applyBorder="1" applyAlignment="1" applyProtection="1">
      <alignment horizontal="right" vertical="center"/>
      <protection/>
    </xf>
    <xf numFmtId="164" fontId="7" fillId="0" borderId="36" xfId="0" applyNumberFormat="1" applyFont="1" applyFill="1" applyBorder="1" applyAlignment="1" applyProtection="1">
      <alignment horizontal="right" vertical="center"/>
      <protection/>
    </xf>
    <xf numFmtId="164" fontId="45" fillId="33" borderId="37" xfId="0" applyNumberFormat="1" applyFont="1" applyFill="1" applyBorder="1" applyAlignment="1" applyProtection="1">
      <alignment/>
      <protection locked="0"/>
    </xf>
    <xf numFmtId="164" fontId="4" fillId="0" borderId="36" xfId="0" applyNumberFormat="1" applyFont="1" applyFill="1" applyBorder="1" applyAlignment="1">
      <alignment/>
    </xf>
    <xf numFmtId="164" fontId="5" fillId="0" borderId="36" xfId="0" applyNumberFormat="1" applyFont="1" applyFill="1" applyBorder="1" applyAlignment="1">
      <alignment/>
    </xf>
    <xf numFmtId="0" fontId="5" fillId="0" borderId="38" xfId="0" applyFont="1" applyFill="1" applyBorder="1" applyAlignment="1">
      <alignment horizontal="right"/>
    </xf>
    <xf numFmtId="0" fontId="4" fillId="33" borderId="27" xfId="0" applyFont="1" applyFill="1" applyBorder="1" applyAlignment="1">
      <alignment/>
    </xf>
    <xf numFmtId="0" fontId="5" fillId="0" borderId="36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5" fillId="0" borderId="39" xfId="0" applyFont="1" applyFill="1" applyBorder="1" applyAlignment="1">
      <alignment horizontal="left" wrapText="1"/>
    </xf>
    <xf numFmtId="164" fontId="5" fillId="0" borderId="40" xfId="0" applyNumberFormat="1" applyFont="1" applyBorder="1" applyAlignment="1">
      <alignment/>
    </xf>
    <xf numFmtId="0" fontId="4" fillId="0" borderId="41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left" wrapText="1"/>
    </xf>
    <xf numFmtId="164" fontId="5" fillId="0" borderId="43" xfId="0" applyNumberFormat="1" applyFont="1" applyFill="1" applyBorder="1" applyAlignment="1">
      <alignment/>
    </xf>
    <xf numFmtId="164" fontId="5" fillId="0" borderId="43" xfId="0" applyNumberFormat="1" applyFont="1" applyBorder="1" applyAlignment="1">
      <alignment/>
    </xf>
    <xf numFmtId="0" fontId="4" fillId="0" borderId="42" xfId="0" applyFont="1" applyFill="1" applyBorder="1" applyAlignment="1">
      <alignment horizontal="left" wrapText="1"/>
    </xf>
    <xf numFmtId="164" fontId="4" fillId="0" borderId="43" xfId="0" applyNumberFormat="1" applyFont="1" applyFill="1" applyBorder="1" applyAlignment="1">
      <alignment/>
    </xf>
    <xf numFmtId="0" fontId="4" fillId="0" borderId="42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/>
    </xf>
    <xf numFmtId="0" fontId="5" fillId="0" borderId="43" xfId="0" applyFont="1" applyFill="1" applyBorder="1" applyAlignment="1">
      <alignment horizontal="right"/>
    </xf>
    <xf numFmtId="0" fontId="5" fillId="0" borderId="44" xfId="0" applyFont="1" applyFill="1" applyBorder="1" applyAlignment="1">
      <alignment horizontal="right"/>
    </xf>
    <xf numFmtId="0" fontId="4" fillId="0" borderId="42" xfId="0" applyFont="1" applyFill="1" applyBorder="1" applyAlignment="1">
      <alignment/>
    </xf>
    <xf numFmtId="0" fontId="4" fillId="0" borderId="43" xfId="0" applyFont="1" applyFill="1" applyBorder="1" applyAlignment="1">
      <alignment horizontal="right"/>
    </xf>
    <xf numFmtId="0" fontId="4" fillId="0" borderId="42" xfId="0" applyFont="1" applyFill="1" applyBorder="1" applyAlignment="1">
      <alignment horizontal="right"/>
    </xf>
    <xf numFmtId="0" fontId="5" fillId="0" borderId="43" xfId="0" applyFont="1" applyFill="1" applyBorder="1" applyAlignment="1">
      <alignment/>
    </xf>
    <xf numFmtId="0" fontId="4" fillId="0" borderId="45" xfId="0" applyFont="1" applyFill="1" applyBorder="1" applyAlignment="1">
      <alignment horizontal="left" wrapText="1"/>
    </xf>
    <xf numFmtId="0" fontId="4" fillId="0" borderId="46" xfId="0" applyFont="1" applyFill="1" applyBorder="1" applyAlignment="1">
      <alignment/>
    </xf>
    <xf numFmtId="0" fontId="4" fillId="0" borderId="40" xfId="0" applyFont="1" applyFill="1" applyBorder="1" applyAlignment="1">
      <alignment horizontal="center" wrapText="1"/>
    </xf>
    <xf numFmtId="164" fontId="4" fillId="0" borderId="46" xfId="0" applyNumberFormat="1" applyFont="1" applyFill="1" applyBorder="1" applyAlignment="1">
      <alignment/>
    </xf>
    <xf numFmtId="0" fontId="4" fillId="0" borderId="47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 wrapText="1"/>
    </xf>
    <xf numFmtId="0" fontId="4" fillId="0" borderId="49" xfId="0" applyFont="1" applyFill="1" applyBorder="1" applyAlignment="1">
      <alignment horizontal="center" wrapText="1"/>
    </xf>
    <xf numFmtId="164" fontId="5" fillId="0" borderId="0" xfId="0" applyNumberFormat="1" applyFont="1" applyBorder="1" applyAlignment="1">
      <alignment/>
    </xf>
    <xf numFmtId="0" fontId="4" fillId="0" borderId="43" xfId="0" applyFont="1" applyFill="1" applyBorder="1" applyAlignment="1">
      <alignment/>
    </xf>
    <xf numFmtId="0" fontId="0" fillId="0" borderId="20" xfId="0" applyFont="1" applyBorder="1" applyAlignment="1">
      <alignment horizontal="center" textRotation="90"/>
    </xf>
    <xf numFmtId="0" fontId="0" fillId="0" borderId="20" xfId="0" applyFont="1" applyBorder="1" applyAlignment="1">
      <alignment/>
    </xf>
    <xf numFmtId="164" fontId="0" fillId="33" borderId="20" xfId="0" applyNumberFormat="1" applyFont="1" applyFill="1" applyBorder="1" applyAlignment="1">
      <alignment textRotation="90" wrapText="1"/>
    </xf>
    <xf numFmtId="164" fontId="0" fillId="33" borderId="20" xfId="0" applyNumberFormat="1" applyFont="1" applyFill="1" applyBorder="1" applyAlignment="1">
      <alignment textRotation="90"/>
    </xf>
    <xf numFmtId="0" fontId="0" fillId="0" borderId="0" xfId="0" applyFont="1" applyAlignment="1">
      <alignment/>
    </xf>
    <xf numFmtId="0" fontId="0" fillId="0" borderId="20" xfId="0" applyFont="1" applyBorder="1" applyAlignment="1">
      <alignment textRotation="90"/>
    </xf>
    <xf numFmtId="0" fontId="0" fillId="0" borderId="50" xfId="0" applyFont="1" applyBorder="1" applyAlignment="1">
      <alignment textRotation="90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 vertical="top"/>
    </xf>
    <xf numFmtId="0" fontId="0" fillId="34" borderId="2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64" fontId="0" fillId="33" borderId="20" xfId="0" applyNumberFormat="1" applyFont="1" applyFill="1" applyBorder="1" applyAlignment="1">
      <alignment/>
    </xf>
    <xf numFmtId="171" fontId="0" fillId="33" borderId="20" xfId="42" applyNumberFormat="1" applyFont="1" applyFill="1" applyBorder="1" applyAlignment="1">
      <alignment horizontal="right"/>
    </xf>
    <xf numFmtId="169" fontId="0" fillId="33" borderId="2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/>
    </xf>
    <xf numFmtId="164" fontId="0" fillId="0" borderId="20" xfId="0" applyNumberFormat="1" applyFont="1" applyFill="1" applyBorder="1" applyAlignment="1">
      <alignment horizontal="right"/>
    </xf>
    <xf numFmtId="171" fontId="0" fillId="0" borderId="20" xfId="0" applyNumberFormat="1" applyFont="1" applyFill="1" applyBorder="1" applyAlignment="1">
      <alignment horizontal="right"/>
    </xf>
    <xf numFmtId="171" fontId="0" fillId="0" borderId="20" xfId="42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171" fontId="0" fillId="33" borderId="0" xfId="0" applyNumberFormat="1" applyFont="1" applyFill="1" applyBorder="1" applyAlignment="1">
      <alignment/>
    </xf>
    <xf numFmtId="171" fontId="0" fillId="33" borderId="0" xfId="42" applyNumberFormat="1" applyFont="1" applyFill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top"/>
    </xf>
    <xf numFmtId="0" fontId="0" fillId="35" borderId="20" xfId="0" applyFont="1" applyFill="1" applyBorder="1" applyAlignment="1">
      <alignment/>
    </xf>
    <xf numFmtId="171" fontId="0" fillId="33" borderId="20" xfId="0" applyNumberFormat="1" applyFont="1" applyFill="1" applyBorder="1" applyAlignment="1">
      <alignment/>
    </xf>
    <xf numFmtId="0" fontId="8" fillId="0" borderId="20" xfId="0" applyFont="1" applyBorder="1" applyAlignment="1">
      <alignment vertical="top"/>
    </xf>
    <xf numFmtId="164" fontId="0" fillId="0" borderId="20" xfId="0" applyNumberFormat="1" applyFont="1" applyBorder="1" applyAlignment="1">
      <alignment horizontal="right"/>
    </xf>
    <xf numFmtId="0" fontId="0" fillId="0" borderId="14" xfId="0" applyFont="1" applyFill="1" applyBorder="1" applyAlignment="1">
      <alignment horizontal="center"/>
    </xf>
    <xf numFmtId="0" fontId="0" fillId="36" borderId="20" xfId="0" applyFont="1" applyFill="1" applyBorder="1" applyAlignment="1">
      <alignment/>
    </xf>
    <xf numFmtId="0" fontId="0" fillId="37" borderId="2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20" xfId="0" applyFont="1" applyBorder="1" applyAlignment="1">
      <alignment/>
    </xf>
    <xf numFmtId="164" fontId="0" fillId="0" borderId="2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4" xfId="0" applyFont="1" applyBorder="1" applyAlignment="1">
      <alignment/>
    </xf>
    <xf numFmtId="164" fontId="0" fillId="0" borderId="20" xfId="0" applyNumberFormat="1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0" borderId="52" xfId="0" applyFont="1" applyBorder="1" applyAlignment="1">
      <alignment horizontal="center"/>
    </xf>
    <xf numFmtId="164" fontId="0" fillId="33" borderId="52" xfId="0" applyNumberFormat="1" applyFont="1" applyFill="1" applyBorder="1" applyAlignment="1">
      <alignment/>
    </xf>
    <xf numFmtId="164" fontId="0" fillId="0" borderId="52" xfId="0" applyNumberFormat="1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Alignment="1">
      <alignment/>
    </xf>
    <xf numFmtId="164" fontId="0" fillId="33" borderId="51" xfId="0" applyNumberFormat="1" applyFont="1" applyFill="1" applyBorder="1" applyAlignment="1">
      <alignment horizontal="right"/>
    </xf>
    <xf numFmtId="164" fontId="0" fillId="0" borderId="51" xfId="0" applyNumberFormat="1" applyFont="1" applyFill="1" applyBorder="1" applyAlignment="1">
      <alignment horizontal="right"/>
    </xf>
    <xf numFmtId="0" fontId="0" fillId="0" borderId="51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25" xfId="0" applyFont="1" applyBorder="1" applyAlignment="1">
      <alignment/>
    </xf>
    <xf numFmtId="164" fontId="0" fillId="0" borderId="51" xfId="0" applyNumberFormat="1" applyFont="1" applyBorder="1" applyAlignment="1">
      <alignment horizontal="right"/>
    </xf>
    <xf numFmtId="164" fontId="0" fillId="0" borderId="51" xfId="0" applyNumberFormat="1" applyFont="1" applyBorder="1" applyAlignment="1">
      <alignment textRotation="90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15" xfId="0" applyFont="1" applyFill="1" applyBorder="1" applyAlignment="1">
      <alignment/>
    </xf>
    <xf numFmtId="0" fontId="0" fillId="0" borderId="51" xfId="0" applyFont="1" applyFill="1" applyBorder="1" applyAlignment="1">
      <alignment vertical="top"/>
    </xf>
    <xf numFmtId="0" fontId="0" fillId="0" borderId="50" xfId="0" applyFont="1" applyFill="1" applyBorder="1" applyAlignment="1">
      <alignment vertical="top"/>
    </xf>
    <xf numFmtId="0" fontId="0" fillId="0" borderId="25" xfId="0" applyFont="1" applyFill="1" applyBorder="1" applyAlignment="1">
      <alignment vertical="top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 horizontal="left"/>
    </xf>
    <xf numFmtId="164" fontId="0" fillId="0" borderId="50" xfId="0" applyNumberFormat="1" applyFont="1" applyBorder="1" applyAlignment="1">
      <alignment horizontal="left" vertical="top" wrapText="1"/>
    </xf>
    <xf numFmtId="164" fontId="0" fillId="33" borderId="0" xfId="0" applyNumberFormat="1" applyFont="1" applyFill="1" applyAlignment="1">
      <alignment/>
    </xf>
    <xf numFmtId="0" fontId="0" fillId="0" borderId="51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164" fontId="0" fillId="33" borderId="50" xfId="0" applyNumberFormat="1" applyFont="1" applyFill="1" applyBorder="1" applyAlignment="1">
      <alignment/>
    </xf>
    <xf numFmtId="164" fontId="0" fillId="33" borderId="25" xfId="0" applyNumberFormat="1" applyFont="1" applyFill="1" applyBorder="1" applyAlignment="1">
      <alignment/>
    </xf>
    <xf numFmtId="0" fontId="0" fillId="33" borderId="50" xfId="0" applyFont="1" applyFill="1" applyBorder="1" applyAlignment="1">
      <alignment/>
    </xf>
    <xf numFmtId="0" fontId="0" fillId="0" borderId="20" xfId="0" applyFont="1" applyBorder="1" applyAlignment="1">
      <alignment horizontal="right" textRotation="90"/>
    </xf>
    <xf numFmtId="0" fontId="0" fillId="33" borderId="25" xfId="0" applyFont="1" applyFill="1" applyBorder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9" fillId="0" borderId="51" xfId="0" applyFont="1" applyFill="1" applyBorder="1" applyAlignment="1">
      <alignment horizontal="left"/>
    </xf>
    <xf numFmtId="0" fontId="9" fillId="0" borderId="50" xfId="0" applyFont="1" applyBorder="1" applyAlignment="1">
      <alignment/>
    </xf>
    <xf numFmtId="0" fontId="9" fillId="33" borderId="50" xfId="0" applyFont="1" applyFill="1" applyBorder="1" applyAlignment="1">
      <alignment/>
    </xf>
    <xf numFmtId="164" fontId="9" fillId="33" borderId="25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9" fillId="33" borderId="0" xfId="0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33" borderId="17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33" borderId="12" xfId="0" applyFont="1" applyFill="1" applyBorder="1" applyAlignment="1">
      <alignment/>
    </xf>
    <xf numFmtId="164" fontId="9" fillId="33" borderId="13" xfId="0" applyNumberFormat="1" applyFont="1" applyFill="1" applyBorder="1" applyAlignment="1">
      <alignment/>
    </xf>
    <xf numFmtId="0" fontId="9" fillId="0" borderId="51" xfId="0" applyFont="1" applyBorder="1" applyAlignment="1">
      <alignment/>
    </xf>
    <xf numFmtId="164" fontId="9" fillId="33" borderId="18" xfId="0" applyNumberFormat="1" applyFont="1" applyFill="1" applyBorder="1" applyAlignment="1">
      <alignment/>
    </xf>
    <xf numFmtId="164" fontId="0" fillId="0" borderId="20" xfId="0" applyNumberFormat="1" applyFont="1" applyFill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51" xfId="0" applyFont="1" applyBorder="1" applyAlignment="1">
      <alignment horizontal="right" textRotation="90"/>
    </xf>
    <xf numFmtId="0" fontId="0" fillId="0" borderId="50" xfId="0" applyFont="1" applyBorder="1" applyAlignment="1">
      <alignment horizontal="right" textRotation="90"/>
    </xf>
    <xf numFmtId="0" fontId="0" fillId="0" borderId="25" xfId="0" applyFont="1" applyBorder="1" applyAlignment="1">
      <alignment horizontal="right" textRotation="90"/>
    </xf>
    <xf numFmtId="164" fontId="0" fillId="0" borderId="51" xfId="0" applyNumberFormat="1" applyFont="1" applyBorder="1" applyAlignment="1">
      <alignment horizontal="left" vertical="top" wrapText="1"/>
    </xf>
    <xf numFmtId="164" fontId="0" fillId="0" borderId="50" xfId="0" applyNumberFormat="1" applyFont="1" applyBorder="1" applyAlignment="1">
      <alignment horizontal="left" vertical="top" wrapText="1"/>
    </xf>
    <xf numFmtId="164" fontId="0" fillId="0" borderId="25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38100</xdr:rowOff>
    </xdr:from>
    <xdr:to>
      <xdr:col>0</xdr:col>
      <xdr:colOff>219075</xdr:colOff>
      <xdr:row>0</xdr:row>
      <xdr:rowOff>142875</xdr:rowOff>
    </xdr:to>
    <xdr:sp>
      <xdr:nvSpPr>
        <xdr:cNvPr id="1" name="Oval 2"/>
        <xdr:cNvSpPr>
          <a:spLocks/>
        </xdr:cNvSpPr>
      </xdr:nvSpPr>
      <xdr:spPr>
        <a:xfrm>
          <a:off x="123825" y="38100"/>
          <a:ext cx="95250" cy="104775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13</xdr:row>
      <xdr:rowOff>57150</xdr:rowOff>
    </xdr:from>
    <xdr:to>
      <xdr:col>1</xdr:col>
      <xdr:colOff>209550</xdr:colOff>
      <xdr:row>13</xdr:row>
      <xdr:rowOff>161925</xdr:rowOff>
    </xdr:to>
    <xdr:sp>
      <xdr:nvSpPr>
        <xdr:cNvPr id="2" name="Oval 10"/>
        <xdr:cNvSpPr>
          <a:spLocks/>
        </xdr:cNvSpPr>
      </xdr:nvSpPr>
      <xdr:spPr>
        <a:xfrm>
          <a:off x="361950" y="4533900"/>
          <a:ext cx="114300" cy="104775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14</xdr:row>
      <xdr:rowOff>47625</xdr:rowOff>
    </xdr:from>
    <xdr:to>
      <xdr:col>1</xdr:col>
      <xdr:colOff>209550</xdr:colOff>
      <xdr:row>14</xdr:row>
      <xdr:rowOff>152400</xdr:rowOff>
    </xdr:to>
    <xdr:sp>
      <xdr:nvSpPr>
        <xdr:cNvPr id="3" name="Oval 11"/>
        <xdr:cNvSpPr>
          <a:spLocks/>
        </xdr:cNvSpPr>
      </xdr:nvSpPr>
      <xdr:spPr>
        <a:xfrm>
          <a:off x="361950" y="4705350"/>
          <a:ext cx="114300" cy="104775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15</xdr:row>
      <xdr:rowOff>57150</xdr:rowOff>
    </xdr:from>
    <xdr:to>
      <xdr:col>1</xdr:col>
      <xdr:colOff>209550</xdr:colOff>
      <xdr:row>15</xdr:row>
      <xdr:rowOff>161925</xdr:rowOff>
    </xdr:to>
    <xdr:sp>
      <xdr:nvSpPr>
        <xdr:cNvPr id="4" name="Oval 12"/>
        <xdr:cNvSpPr>
          <a:spLocks/>
        </xdr:cNvSpPr>
      </xdr:nvSpPr>
      <xdr:spPr>
        <a:xfrm>
          <a:off x="361950" y="4895850"/>
          <a:ext cx="114300" cy="104775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15</xdr:row>
      <xdr:rowOff>57150</xdr:rowOff>
    </xdr:from>
    <xdr:to>
      <xdr:col>1</xdr:col>
      <xdr:colOff>209550</xdr:colOff>
      <xdr:row>15</xdr:row>
      <xdr:rowOff>161925</xdr:rowOff>
    </xdr:to>
    <xdr:sp>
      <xdr:nvSpPr>
        <xdr:cNvPr id="5" name="Oval 13"/>
        <xdr:cNvSpPr>
          <a:spLocks/>
        </xdr:cNvSpPr>
      </xdr:nvSpPr>
      <xdr:spPr>
        <a:xfrm>
          <a:off x="361950" y="4895850"/>
          <a:ext cx="114300" cy="104775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15</xdr:row>
      <xdr:rowOff>57150</xdr:rowOff>
    </xdr:from>
    <xdr:to>
      <xdr:col>1</xdr:col>
      <xdr:colOff>209550</xdr:colOff>
      <xdr:row>15</xdr:row>
      <xdr:rowOff>161925</xdr:rowOff>
    </xdr:to>
    <xdr:sp>
      <xdr:nvSpPr>
        <xdr:cNvPr id="6" name="Oval 14"/>
        <xdr:cNvSpPr>
          <a:spLocks/>
        </xdr:cNvSpPr>
      </xdr:nvSpPr>
      <xdr:spPr>
        <a:xfrm>
          <a:off x="361950" y="4895850"/>
          <a:ext cx="114300" cy="104775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15</xdr:row>
      <xdr:rowOff>57150</xdr:rowOff>
    </xdr:from>
    <xdr:to>
      <xdr:col>1</xdr:col>
      <xdr:colOff>209550</xdr:colOff>
      <xdr:row>15</xdr:row>
      <xdr:rowOff>161925</xdr:rowOff>
    </xdr:to>
    <xdr:sp>
      <xdr:nvSpPr>
        <xdr:cNvPr id="7" name="Oval 15"/>
        <xdr:cNvSpPr>
          <a:spLocks/>
        </xdr:cNvSpPr>
      </xdr:nvSpPr>
      <xdr:spPr>
        <a:xfrm>
          <a:off x="361950" y="4895850"/>
          <a:ext cx="114300" cy="104775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15</xdr:row>
      <xdr:rowOff>57150</xdr:rowOff>
    </xdr:from>
    <xdr:to>
      <xdr:col>1</xdr:col>
      <xdr:colOff>209550</xdr:colOff>
      <xdr:row>15</xdr:row>
      <xdr:rowOff>161925</xdr:rowOff>
    </xdr:to>
    <xdr:sp>
      <xdr:nvSpPr>
        <xdr:cNvPr id="8" name="Oval 16"/>
        <xdr:cNvSpPr>
          <a:spLocks/>
        </xdr:cNvSpPr>
      </xdr:nvSpPr>
      <xdr:spPr>
        <a:xfrm>
          <a:off x="361950" y="4895850"/>
          <a:ext cx="114300" cy="104775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15</xdr:row>
      <xdr:rowOff>57150</xdr:rowOff>
    </xdr:from>
    <xdr:to>
      <xdr:col>1</xdr:col>
      <xdr:colOff>209550</xdr:colOff>
      <xdr:row>15</xdr:row>
      <xdr:rowOff>161925</xdr:rowOff>
    </xdr:to>
    <xdr:sp>
      <xdr:nvSpPr>
        <xdr:cNvPr id="9" name="Oval 17"/>
        <xdr:cNvSpPr>
          <a:spLocks/>
        </xdr:cNvSpPr>
      </xdr:nvSpPr>
      <xdr:spPr>
        <a:xfrm>
          <a:off x="361950" y="4895850"/>
          <a:ext cx="114300" cy="104775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4</xdr:row>
      <xdr:rowOff>28575</xdr:rowOff>
    </xdr:from>
    <xdr:to>
      <xdr:col>1</xdr:col>
      <xdr:colOff>209550</xdr:colOff>
      <xdr:row>4</xdr:row>
      <xdr:rowOff>133350</xdr:rowOff>
    </xdr:to>
    <xdr:sp>
      <xdr:nvSpPr>
        <xdr:cNvPr id="10" name="Oval 20"/>
        <xdr:cNvSpPr>
          <a:spLocks/>
        </xdr:cNvSpPr>
      </xdr:nvSpPr>
      <xdr:spPr>
        <a:xfrm>
          <a:off x="361950" y="2886075"/>
          <a:ext cx="114300" cy="104775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5</xdr:row>
      <xdr:rowOff>28575</xdr:rowOff>
    </xdr:from>
    <xdr:to>
      <xdr:col>1</xdr:col>
      <xdr:colOff>209550</xdr:colOff>
      <xdr:row>5</xdr:row>
      <xdr:rowOff>133350</xdr:rowOff>
    </xdr:to>
    <xdr:sp>
      <xdr:nvSpPr>
        <xdr:cNvPr id="11" name="Oval 21"/>
        <xdr:cNvSpPr>
          <a:spLocks/>
        </xdr:cNvSpPr>
      </xdr:nvSpPr>
      <xdr:spPr>
        <a:xfrm>
          <a:off x="361950" y="3067050"/>
          <a:ext cx="114300" cy="104775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6</xdr:row>
      <xdr:rowOff>28575</xdr:rowOff>
    </xdr:from>
    <xdr:to>
      <xdr:col>1</xdr:col>
      <xdr:colOff>209550</xdr:colOff>
      <xdr:row>6</xdr:row>
      <xdr:rowOff>133350</xdr:rowOff>
    </xdr:to>
    <xdr:sp>
      <xdr:nvSpPr>
        <xdr:cNvPr id="12" name="Oval 23"/>
        <xdr:cNvSpPr>
          <a:spLocks/>
        </xdr:cNvSpPr>
      </xdr:nvSpPr>
      <xdr:spPr>
        <a:xfrm>
          <a:off x="361950" y="3248025"/>
          <a:ext cx="114300" cy="104775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21</xdr:row>
      <xdr:rowOff>28575</xdr:rowOff>
    </xdr:from>
    <xdr:to>
      <xdr:col>1</xdr:col>
      <xdr:colOff>209550</xdr:colOff>
      <xdr:row>21</xdr:row>
      <xdr:rowOff>133350</xdr:rowOff>
    </xdr:to>
    <xdr:sp>
      <xdr:nvSpPr>
        <xdr:cNvPr id="13" name="Oval 24"/>
        <xdr:cNvSpPr>
          <a:spLocks/>
        </xdr:cNvSpPr>
      </xdr:nvSpPr>
      <xdr:spPr>
        <a:xfrm>
          <a:off x="361950" y="5953125"/>
          <a:ext cx="114300" cy="104775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7</xdr:row>
      <xdr:rowOff>28575</xdr:rowOff>
    </xdr:from>
    <xdr:to>
      <xdr:col>1</xdr:col>
      <xdr:colOff>209550</xdr:colOff>
      <xdr:row>7</xdr:row>
      <xdr:rowOff>133350</xdr:rowOff>
    </xdr:to>
    <xdr:sp>
      <xdr:nvSpPr>
        <xdr:cNvPr id="14" name="Oval 26"/>
        <xdr:cNvSpPr>
          <a:spLocks/>
        </xdr:cNvSpPr>
      </xdr:nvSpPr>
      <xdr:spPr>
        <a:xfrm>
          <a:off x="361950" y="3429000"/>
          <a:ext cx="114300" cy="104775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22</xdr:row>
      <xdr:rowOff>28575</xdr:rowOff>
    </xdr:from>
    <xdr:to>
      <xdr:col>1</xdr:col>
      <xdr:colOff>209550</xdr:colOff>
      <xdr:row>22</xdr:row>
      <xdr:rowOff>133350</xdr:rowOff>
    </xdr:to>
    <xdr:sp>
      <xdr:nvSpPr>
        <xdr:cNvPr id="15" name="Oval 28"/>
        <xdr:cNvSpPr>
          <a:spLocks/>
        </xdr:cNvSpPr>
      </xdr:nvSpPr>
      <xdr:spPr>
        <a:xfrm>
          <a:off x="361950" y="6134100"/>
          <a:ext cx="114300" cy="104775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23</xdr:row>
      <xdr:rowOff>28575</xdr:rowOff>
    </xdr:from>
    <xdr:to>
      <xdr:col>1</xdr:col>
      <xdr:colOff>209550</xdr:colOff>
      <xdr:row>23</xdr:row>
      <xdr:rowOff>133350</xdr:rowOff>
    </xdr:to>
    <xdr:sp>
      <xdr:nvSpPr>
        <xdr:cNvPr id="16" name="Oval 29"/>
        <xdr:cNvSpPr>
          <a:spLocks/>
        </xdr:cNvSpPr>
      </xdr:nvSpPr>
      <xdr:spPr>
        <a:xfrm>
          <a:off x="361950" y="6315075"/>
          <a:ext cx="114300" cy="104775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28575</xdr:rowOff>
    </xdr:from>
    <xdr:to>
      <xdr:col>1</xdr:col>
      <xdr:colOff>209550</xdr:colOff>
      <xdr:row>17</xdr:row>
      <xdr:rowOff>133350</xdr:rowOff>
    </xdr:to>
    <xdr:sp>
      <xdr:nvSpPr>
        <xdr:cNvPr id="17" name="Oval 30"/>
        <xdr:cNvSpPr>
          <a:spLocks/>
        </xdr:cNvSpPr>
      </xdr:nvSpPr>
      <xdr:spPr>
        <a:xfrm>
          <a:off x="361950" y="5229225"/>
          <a:ext cx="114300" cy="104775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9</xdr:row>
      <xdr:rowOff>28575</xdr:rowOff>
    </xdr:from>
    <xdr:to>
      <xdr:col>1</xdr:col>
      <xdr:colOff>209550</xdr:colOff>
      <xdr:row>9</xdr:row>
      <xdr:rowOff>133350</xdr:rowOff>
    </xdr:to>
    <xdr:sp>
      <xdr:nvSpPr>
        <xdr:cNvPr id="18" name="Oval 32"/>
        <xdr:cNvSpPr>
          <a:spLocks/>
        </xdr:cNvSpPr>
      </xdr:nvSpPr>
      <xdr:spPr>
        <a:xfrm>
          <a:off x="361950" y="3790950"/>
          <a:ext cx="114300" cy="104775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18</xdr:row>
      <xdr:rowOff>28575</xdr:rowOff>
    </xdr:from>
    <xdr:to>
      <xdr:col>1</xdr:col>
      <xdr:colOff>209550</xdr:colOff>
      <xdr:row>18</xdr:row>
      <xdr:rowOff>133350</xdr:rowOff>
    </xdr:to>
    <xdr:sp>
      <xdr:nvSpPr>
        <xdr:cNvPr id="19" name="Oval 34"/>
        <xdr:cNvSpPr>
          <a:spLocks/>
        </xdr:cNvSpPr>
      </xdr:nvSpPr>
      <xdr:spPr>
        <a:xfrm>
          <a:off x="361950" y="5410200"/>
          <a:ext cx="114300" cy="104775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10</xdr:row>
      <xdr:rowOff>28575</xdr:rowOff>
    </xdr:from>
    <xdr:to>
      <xdr:col>1</xdr:col>
      <xdr:colOff>209550</xdr:colOff>
      <xdr:row>10</xdr:row>
      <xdr:rowOff>133350</xdr:rowOff>
    </xdr:to>
    <xdr:sp>
      <xdr:nvSpPr>
        <xdr:cNvPr id="20" name="Oval 35"/>
        <xdr:cNvSpPr>
          <a:spLocks/>
        </xdr:cNvSpPr>
      </xdr:nvSpPr>
      <xdr:spPr>
        <a:xfrm>
          <a:off x="361950" y="3971925"/>
          <a:ext cx="114300" cy="104775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24</xdr:row>
      <xdr:rowOff>28575</xdr:rowOff>
    </xdr:from>
    <xdr:to>
      <xdr:col>1</xdr:col>
      <xdr:colOff>209550</xdr:colOff>
      <xdr:row>24</xdr:row>
      <xdr:rowOff>133350</xdr:rowOff>
    </xdr:to>
    <xdr:sp>
      <xdr:nvSpPr>
        <xdr:cNvPr id="21" name="Oval 37"/>
        <xdr:cNvSpPr>
          <a:spLocks/>
        </xdr:cNvSpPr>
      </xdr:nvSpPr>
      <xdr:spPr>
        <a:xfrm>
          <a:off x="361950" y="6496050"/>
          <a:ext cx="114300" cy="104775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42</xdr:row>
      <xdr:rowOff>47625</xdr:rowOff>
    </xdr:from>
    <xdr:to>
      <xdr:col>1</xdr:col>
      <xdr:colOff>200025</xdr:colOff>
      <xdr:row>42</xdr:row>
      <xdr:rowOff>152400</xdr:rowOff>
    </xdr:to>
    <xdr:sp>
      <xdr:nvSpPr>
        <xdr:cNvPr id="22" name="Oval 39"/>
        <xdr:cNvSpPr>
          <a:spLocks/>
        </xdr:cNvSpPr>
      </xdr:nvSpPr>
      <xdr:spPr>
        <a:xfrm>
          <a:off x="352425" y="9725025"/>
          <a:ext cx="114300" cy="104775"/>
        </a:xfrm>
        <a:prstGeom prst="ellipse">
          <a:avLst/>
        </a:prstGeom>
        <a:solidFill>
          <a:srgbClr val="832AA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44</xdr:row>
      <xdr:rowOff>47625</xdr:rowOff>
    </xdr:from>
    <xdr:to>
      <xdr:col>1</xdr:col>
      <xdr:colOff>200025</xdr:colOff>
      <xdr:row>44</xdr:row>
      <xdr:rowOff>152400</xdr:rowOff>
    </xdr:to>
    <xdr:sp>
      <xdr:nvSpPr>
        <xdr:cNvPr id="23" name="Oval 40"/>
        <xdr:cNvSpPr>
          <a:spLocks/>
        </xdr:cNvSpPr>
      </xdr:nvSpPr>
      <xdr:spPr>
        <a:xfrm>
          <a:off x="352425" y="10086975"/>
          <a:ext cx="114300" cy="104775"/>
        </a:xfrm>
        <a:prstGeom prst="ellipse">
          <a:avLst/>
        </a:prstGeom>
        <a:solidFill>
          <a:srgbClr val="832AA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45</xdr:row>
      <xdr:rowOff>47625</xdr:rowOff>
    </xdr:from>
    <xdr:to>
      <xdr:col>1</xdr:col>
      <xdr:colOff>200025</xdr:colOff>
      <xdr:row>45</xdr:row>
      <xdr:rowOff>152400</xdr:rowOff>
    </xdr:to>
    <xdr:sp>
      <xdr:nvSpPr>
        <xdr:cNvPr id="24" name="Oval 41"/>
        <xdr:cNvSpPr>
          <a:spLocks/>
        </xdr:cNvSpPr>
      </xdr:nvSpPr>
      <xdr:spPr>
        <a:xfrm>
          <a:off x="352425" y="10267950"/>
          <a:ext cx="114300" cy="104775"/>
        </a:xfrm>
        <a:prstGeom prst="ellipse">
          <a:avLst/>
        </a:prstGeom>
        <a:solidFill>
          <a:srgbClr val="832AA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46</xdr:row>
      <xdr:rowOff>47625</xdr:rowOff>
    </xdr:from>
    <xdr:to>
      <xdr:col>1</xdr:col>
      <xdr:colOff>200025</xdr:colOff>
      <xdr:row>46</xdr:row>
      <xdr:rowOff>152400</xdr:rowOff>
    </xdr:to>
    <xdr:sp>
      <xdr:nvSpPr>
        <xdr:cNvPr id="25" name="Oval 42"/>
        <xdr:cNvSpPr>
          <a:spLocks/>
        </xdr:cNvSpPr>
      </xdr:nvSpPr>
      <xdr:spPr>
        <a:xfrm>
          <a:off x="352425" y="10448925"/>
          <a:ext cx="114300" cy="104775"/>
        </a:xfrm>
        <a:prstGeom prst="ellipse">
          <a:avLst/>
        </a:prstGeom>
        <a:solidFill>
          <a:srgbClr val="832AA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47</xdr:row>
      <xdr:rowOff>47625</xdr:rowOff>
    </xdr:from>
    <xdr:to>
      <xdr:col>1</xdr:col>
      <xdr:colOff>200025</xdr:colOff>
      <xdr:row>47</xdr:row>
      <xdr:rowOff>152400</xdr:rowOff>
    </xdr:to>
    <xdr:sp>
      <xdr:nvSpPr>
        <xdr:cNvPr id="26" name="Oval 43"/>
        <xdr:cNvSpPr>
          <a:spLocks/>
        </xdr:cNvSpPr>
      </xdr:nvSpPr>
      <xdr:spPr>
        <a:xfrm>
          <a:off x="352425" y="10629900"/>
          <a:ext cx="114300" cy="104775"/>
        </a:xfrm>
        <a:prstGeom prst="ellipse">
          <a:avLst/>
        </a:prstGeom>
        <a:solidFill>
          <a:srgbClr val="832AA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48</xdr:row>
      <xdr:rowOff>47625</xdr:rowOff>
    </xdr:from>
    <xdr:to>
      <xdr:col>1</xdr:col>
      <xdr:colOff>200025</xdr:colOff>
      <xdr:row>48</xdr:row>
      <xdr:rowOff>152400</xdr:rowOff>
    </xdr:to>
    <xdr:sp>
      <xdr:nvSpPr>
        <xdr:cNvPr id="27" name="Oval 44"/>
        <xdr:cNvSpPr>
          <a:spLocks/>
        </xdr:cNvSpPr>
      </xdr:nvSpPr>
      <xdr:spPr>
        <a:xfrm>
          <a:off x="352425" y="10810875"/>
          <a:ext cx="114300" cy="104775"/>
        </a:xfrm>
        <a:prstGeom prst="ellipse">
          <a:avLst/>
        </a:prstGeom>
        <a:solidFill>
          <a:srgbClr val="832AA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47625</xdr:rowOff>
    </xdr:from>
    <xdr:to>
      <xdr:col>1</xdr:col>
      <xdr:colOff>200025</xdr:colOff>
      <xdr:row>49</xdr:row>
      <xdr:rowOff>152400</xdr:rowOff>
    </xdr:to>
    <xdr:sp>
      <xdr:nvSpPr>
        <xdr:cNvPr id="28" name="Oval 45"/>
        <xdr:cNvSpPr>
          <a:spLocks/>
        </xdr:cNvSpPr>
      </xdr:nvSpPr>
      <xdr:spPr>
        <a:xfrm>
          <a:off x="352425" y="10991850"/>
          <a:ext cx="114300" cy="104775"/>
        </a:xfrm>
        <a:prstGeom prst="ellipse">
          <a:avLst/>
        </a:prstGeom>
        <a:solidFill>
          <a:srgbClr val="832AA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50</xdr:row>
      <xdr:rowOff>47625</xdr:rowOff>
    </xdr:from>
    <xdr:to>
      <xdr:col>1</xdr:col>
      <xdr:colOff>200025</xdr:colOff>
      <xdr:row>50</xdr:row>
      <xdr:rowOff>152400</xdr:rowOff>
    </xdr:to>
    <xdr:sp>
      <xdr:nvSpPr>
        <xdr:cNvPr id="29" name="Oval 46"/>
        <xdr:cNvSpPr>
          <a:spLocks/>
        </xdr:cNvSpPr>
      </xdr:nvSpPr>
      <xdr:spPr>
        <a:xfrm>
          <a:off x="352425" y="11172825"/>
          <a:ext cx="114300" cy="104775"/>
        </a:xfrm>
        <a:prstGeom prst="ellipse">
          <a:avLst/>
        </a:prstGeom>
        <a:solidFill>
          <a:srgbClr val="832AA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51</xdr:row>
      <xdr:rowOff>47625</xdr:rowOff>
    </xdr:from>
    <xdr:to>
      <xdr:col>1</xdr:col>
      <xdr:colOff>200025</xdr:colOff>
      <xdr:row>51</xdr:row>
      <xdr:rowOff>152400</xdr:rowOff>
    </xdr:to>
    <xdr:sp>
      <xdr:nvSpPr>
        <xdr:cNvPr id="30" name="Oval 47"/>
        <xdr:cNvSpPr>
          <a:spLocks/>
        </xdr:cNvSpPr>
      </xdr:nvSpPr>
      <xdr:spPr>
        <a:xfrm>
          <a:off x="352425" y="11353800"/>
          <a:ext cx="114300" cy="104775"/>
        </a:xfrm>
        <a:prstGeom prst="ellipse">
          <a:avLst/>
        </a:prstGeom>
        <a:solidFill>
          <a:srgbClr val="832AA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52</xdr:row>
      <xdr:rowOff>47625</xdr:rowOff>
    </xdr:from>
    <xdr:to>
      <xdr:col>1</xdr:col>
      <xdr:colOff>200025</xdr:colOff>
      <xdr:row>52</xdr:row>
      <xdr:rowOff>152400</xdr:rowOff>
    </xdr:to>
    <xdr:sp>
      <xdr:nvSpPr>
        <xdr:cNvPr id="31" name="Oval 48"/>
        <xdr:cNvSpPr>
          <a:spLocks/>
        </xdr:cNvSpPr>
      </xdr:nvSpPr>
      <xdr:spPr>
        <a:xfrm>
          <a:off x="352425" y="11534775"/>
          <a:ext cx="114300" cy="104775"/>
        </a:xfrm>
        <a:prstGeom prst="ellipse">
          <a:avLst/>
        </a:prstGeom>
        <a:solidFill>
          <a:srgbClr val="832AA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53</xdr:row>
      <xdr:rowOff>47625</xdr:rowOff>
    </xdr:from>
    <xdr:to>
      <xdr:col>1</xdr:col>
      <xdr:colOff>200025</xdr:colOff>
      <xdr:row>53</xdr:row>
      <xdr:rowOff>152400</xdr:rowOff>
    </xdr:to>
    <xdr:sp>
      <xdr:nvSpPr>
        <xdr:cNvPr id="32" name="Oval 49"/>
        <xdr:cNvSpPr>
          <a:spLocks/>
        </xdr:cNvSpPr>
      </xdr:nvSpPr>
      <xdr:spPr>
        <a:xfrm>
          <a:off x="352425" y="11715750"/>
          <a:ext cx="114300" cy="104775"/>
        </a:xfrm>
        <a:prstGeom prst="ellipse">
          <a:avLst/>
        </a:prstGeom>
        <a:solidFill>
          <a:srgbClr val="832AA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54</xdr:row>
      <xdr:rowOff>47625</xdr:rowOff>
    </xdr:from>
    <xdr:to>
      <xdr:col>1</xdr:col>
      <xdr:colOff>200025</xdr:colOff>
      <xdr:row>54</xdr:row>
      <xdr:rowOff>152400</xdr:rowOff>
    </xdr:to>
    <xdr:sp>
      <xdr:nvSpPr>
        <xdr:cNvPr id="33" name="Oval 50"/>
        <xdr:cNvSpPr>
          <a:spLocks/>
        </xdr:cNvSpPr>
      </xdr:nvSpPr>
      <xdr:spPr>
        <a:xfrm>
          <a:off x="352425" y="11896725"/>
          <a:ext cx="114300" cy="104775"/>
        </a:xfrm>
        <a:prstGeom prst="ellipse">
          <a:avLst/>
        </a:prstGeom>
        <a:solidFill>
          <a:srgbClr val="9966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54</xdr:row>
      <xdr:rowOff>47625</xdr:rowOff>
    </xdr:from>
    <xdr:to>
      <xdr:col>1</xdr:col>
      <xdr:colOff>200025</xdr:colOff>
      <xdr:row>54</xdr:row>
      <xdr:rowOff>152400</xdr:rowOff>
    </xdr:to>
    <xdr:sp>
      <xdr:nvSpPr>
        <xdr:cNvPr id="34" name="Oval 51"/>
        <xdr:cNvSpPr>
          <a:spLocks/>
        </xdr:cNvSpPr>
      </xdr:nvSpPr>
      <xdr:spPr>
        <a:xfrm>
          <a:off x="352425" y="11896725"/>
          <a:ext cx="114300" cy="104775"/>
        </a:xfrm>
        <a:prstGeom prst="ellipse">
          <a:avLst/>
        </a:prstGeom>
        <a:solidFill>
          <a:srgbClr val="832AA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55</xdr:row>
      <xdr:rowOff>47625</xdr:rowOff>
    </xdr:from>
    <xdr:to>
      <xdr:col>1</xdr:col>
      <xdr:colOff>200025</xdr:colOff>
      <xdr:row>55</xdr:row>
      <xdr:rowOff>152400</xdr:rowOff>
    </xdr:to>
    <xdr:sp>
      <xdr:nvSpPr>
        <xdr:cNvPr id="35" name="Oval 52"/>
        <xdr:cNvSpPr>
          <a:spLocks/>
        </xdr:cNvSpPr>
      </xdr:nvSpPr>
      <xdr:spPr>
        <a:xfrm>
          <a:off x="352425" y="12077700"/>
          <a:ext cx="114300" cy="104775"/>
        </a:xfrm>
        <a:prstGeom prst="ellipse">
          <a:avLst/>
        </a:prstGeom>
        <a:solidFill>
          <a:srgbClr val="9966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59</xdr:row>
      <xdr:rowOff>47625</xdr:rowOff>
    </xdr:from>
    <xdr:to>
      <xdr:col>1</xdr:col>
      <xdr:colOff>190500</xdr:colOff>
      <xdr:row>59</xdr:row>
      <xdr:rowOff>152400</xdr:rowOff>
    </xdr:to>
    <xdr:sp>
      <xdr:nvSpPr>
        <xdr:cNvPr id="36" name="Oval 53"/>
        <xdr:cNvSpPr>
          <a:spLocks/>
        </xdr:cNvSpPr>
      </xdr:nvSpPr>
      <xdr:spPr>
        <a:xfrm>
          <a:off x="342900" y="12773025"/>
          <a:ext cx="114300" cy="104775"/>
        </a:xfrm>
        <a:prstGeom prst="ellipse">
          <a:avLst/>
        </a:prstGeom>
        <a:solidFill>
          <a:srgbClr val="00B05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43</xdr:row>
      <xdr:rowOff>47625</xdr:rowOff>
    </xdr:from>
    <xdr:to>
      <xdr:col>1</xdr:col>
      <xdr:colOff>190500</xdr:colOff>
      <xdr:row>43</xdr:row>
      <xdr:rowOff>152400</xdr:rowOff>
    </xdr:to>
    <xdr:sp>
      <xdr:nvSpPr>
        <xdr:cNvPr id="37" name="Oval 54"/>
        <xdr:cNvSpPr>
          <a:spLocks/>
        </xdr:cNvSpPr>
      </xdr:nvSpPr>
      <xdr:spPr>
        <a:xfrm>
          <a:off x="342900" y="9906000"/>
          <a:ext cx="114300" cy="104775"/>
        </a:xfrm>
        <a:prstGeom prst="ellipse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61</xdr:row>
      <xdr:rowOff>47625</xdr:rowOff>
    </xdr:from>
    <xdr:to>
      <xdr:col>1</xdr:col>
      <xdr:colOff>190500</xdr:colOff>
      <xdr:row>61</xdr:row>
      <xdr:rowOff>152400</xdr:rowOff>
    </xdr:to>
    <xdr:sp>
      <xdr:nvSpPr>
        <xdr:cNvPr id="38" name="Oval 55"/>
        <xdr:cNvSpPr>
          <a:spLocks/>
        </xdr:cNvSpPr>
      </xdr:nvSpPr>
      <xdr:spPr>
        <a:xfrm>
          <a:off x="342900" y="13134975"/>
          <a:ext cx="114300" cy="104775"/>
        </a:xfrm>
        <a:prstGeom prst="ellipse">
          <a:avLst/>
        </a:prstGeom>
        <a:solidFill>
          <a:srgbClr val="00B05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62</xdr:row>
      <xdr:rowOff>47625</xdr:rowOff>
    </xdr:from>
    <xdr:to>
      <xdr:col>1</xdr:col>
      <xdr:colOff>190500</xdr:colOff>
      <xdr:row>62</xdr:row>
      <xdr:rowOff>152400</xdr:rowOff>
    </xdr:to>
    <xdr:sp>
      <xdr:nvSpPr>
        <xdr:cNvPr id="39" name="Oval 56"/>
        <xdr:cNvSpPr>
          <a:spLocks/>
        </xdr:cNvSpPr>
      </xdr:nvSpPr>
      <xdr:spPr>
        <a:xfrm>
          <a:off x="342900" y="13315950"/>
          <a:ext cx="114300" cy="104775"/>
        </a:xfrm>
        <a:prstGeom prst="ellipse">
          <a:avLst/>
        </a:prstGeom>
        <a:solidFill>
          <a:srgbClr val="00B05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63</xdr:row>
      <xdr:rowOff>47625</xdr:rowOff>
    </xdr:from>
    <xdr:to>
      <xdr:col>1</xdr:col>
      <xdr:colOff>190500</xdr:colOff>
      <xdr:row>63</xdr:row>
      <xdr:rowOff>152400</xdr:rowOff>
    </xdr:to>
    <xdr:sp>
      <xdr:nvSpPr>
        <xdr:cNvPr id="40" name="Oval 57"/>
        <xdr:cNvSpPr>
          <a:spLocks/>
        </xdr:cNvSpPr>
      </xdr:nvSpPr>
      <xdr:spPr>
        <a:xfrm>
          <a:off x="342900" y="13496925"/>
          <a:ext cx="114300" cy="104775"/>
        </a:xfrm>
        <a:prstGeom prst="ellipse">
          <a:avLst/>
        </a:prstGeom>
        <a:solidFill>
          <a:srgbClr val="00B05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64</xdr:row>
      <xdr:rowOff>47625</xdr:rowOff>
    </xdr:from>
    <xdr:to>
      <xdr:col>1</xdr:col>
      <xdr:colOff>190500</xdr:colOff>
      <xdr:row>64</xdr:row>
      <xdr:rowOff>152400</xdr:rowOff>
    </xdr:to>
    <xdr:sp>
      <xdr:nvSpPr>
        <xdr:cNvPr id="41" name="Oval 58"/>
        <xdr:cNvSpPr>
          <a:spLocks/>
        </xdr:cNvSpPr>
      </xdr:nvSpPr>
      <xdr:spPr>
        <a:xfrm>
          <a:off x="342900" y="13677900"/>
          <a:ext cx="114300" cy="104775"/>
        </a:xfrm>
        <a:prstGeom prst="ellipse">
          <a:avLst/>
        </a:prstGeom>
        <a:solidFill>
          <a:srgbClr val="00B05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65</xdr:row>
      <xdr:rowOff>47625</xdr:rowOff>
    </xdr:from>
    <xdr:to>
      <xdr:col>1</xdr:col>
      <xdr:colOff>190500</xdr:colOff>
      <xdr:row>65</xdr:row>
      <xdr:rowOff>152400</xdr:rowOff>
    </xdr:to>
    <xdr:sp>
      <xdr:nvSpPr>
        <xdr:cNvPr id="42" name="Oval 59"/>
        <xdr:cNvSpPr>
          <a:spLocks/>
        </xdr:cNvSpPr>
      </xdr:nvSpPr>
      <xdr:spPr>
        <a:xfrm>
          <a:off x="342900" y="13858875"/>
          <a:ext cx="114300" cy="104775"/>
        </a:xfrm>
        <a:prstGeom prst="ellipse">
          <a:avLst/>
        </a:prstGeom>
        <a:solidFill>
          <a:srgbClr val="00B05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68</xdr:row>
      <xdr:rowOff>38100</xdr:rowOff>
    </xdr:from>
    <xdr:to>
      <xdr:col>1</xdr:col>
      <xdr:colOff>180975</xdr:colOff>
      <xdr:row>68</xdr:row>
      <xdr:rowOff>142875</xdr:rowOff>
    </xdr:to>
    <xdr:sp>
      <xdr:nvSpPr>
        <xdr:cNvPr id="43" name="Oval 60"/>
        <xdr:cNvSpPr>
          <a:spLocks/>
        </xdr:cNvSpPr>
      </xdr:nvSpPr>
      <xdr:spPr>
        <a:xfrm>
          <a:off x="333375" y="14363700"/>
          <a:ext cx="114300" cy="104775"/>
        </a:xfrm>
        <a:prstGeom prst="ellipse">
          <a:avLst/>
        </a:prstGeom>
        <a:solidFill>
          <a:srgbClr val="CC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69</xdr:row>
      <xdr:rowOff>38100</xdr:rowOff>
    </xdr:from>
    <xdr:to>
      <xdr:col>1</xdr:col>
      <xdr:colOff>180975</xdr:colOff>
      <xdr:row>69</xdr:row>
      <xdr:rowOff>142875</xdr:rowOff>
    </xdr:to>
    <xdr:sp>
      <xdr:nvSpPr>
        <xdr:cNvPr id="44" name="Oval 61"/>
        <xdr:cNvSpPr>
          <a:spLocks/>
        </xdr:cNvSpPr>
      </xdr:nvSpPr>
      <xdr:spPr>
        <a:xfrm>
          <a:off x="333375" y="14544675"/>
          <a:ext cx="114300" cy="104775"/>
        </a:xfrm>
        <a:prstGeom prst="ellipse">
          <a:avLst/>
        </a:prstGeom>
        <a:solidFill>
          <a:srgbClr val="CC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72</xdr:row>
      <xdr:rowOff>47625</xdr:rowOff>
    </xdr:from>
    <xdr:to>
      <xdr:col>1</xdr:col>
      <xdr:colOff>190500</xdr:colOff>
      <xdr:row>72</xdr:row>
      <xdr:rowOff>152400</xdr:rowOff>
    </xdr:to>
    <xdr:sp>
      <xdr:nvSpPr>
        <xdr:cNvPr id="45" name="Oval 62"/>
        <xdr:cNvSpPr>
          <a:spLocks/>
        </xdr:cNvSpPr>
      </xdr:nvSpPr>
      <xdr:spPr>
        <a:xfrm>
          <a:off x="342900" y="15068550"/>
          <a:ext cx="114300" cy="104775"/>
        </a:xfrm>
        <a:prstGeom prst="ellipse">
          <a:avLst/>
        </a:prstGeom>
        <a:solidFill>
          <a:srgbClr val="4A452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73</xdr:row>
      <xdr:rowOff>19050</xdr:rowOff>
    </xdr:from>
    <xdr:to>
      <xdr:col>1</xdr:col>
      <xdr:colOff>190500</xdr:colOff>
      <xdr:row>73</xdr:row>
      <xdr:rowOff>123825</xdr:rowOff>
    </xdr:to>
    <xdr:sp>
      <xdr:nvSpPr>
        <xdr:cNvPr id="46" name="Oval 63"/>
        <xdr:cNvSpPr>
          <a:spLocks/>
        </xdr:cNvSpPr>
      </xdr:nvSpPr>
      <xdr:spPr>
        <a:xfrm>
          <a:off x="342900" y="15220950"/>
          <a:ext cx="114300" cy="104775"/>
        </a:xfrm>
        <a:prstGeom prst="ellipse">
          <a:avLst/>
        </a:prstGeom>
        <a:solidFill>
          <a:srgbClr val="4A452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1314450</xdr:colOff>
      <xdr:row>0</xdr:row>
      <xdr:rowOff>400050</xdr:rowOff>
    </xdr:from>
    <xdr:to>
      <xdr:col>4</xdr:col>
      <xdr:colOff>1419225</xdr:colOff>
      <xdr:row>0</xdr:row>
      <xdr:rowOff>504825</xdr:rowOff>
    </xdr:to>
    <xdr:sp>
      <xdr:nvSpPr>
        <xdr:cNvPr id="47" name="Oval 67"/>
        <xdr:cNvSpPr>
          <a:spLocks/>
        </xdr:cNvSpPr>
      </xdr:nvSpPr>
      <xdr:spPr>
        <a:xfrm>
          <a:off x="3371850" y="400050"/>
          <a:ext cx="104775" cy="104775"/>
        </a:xfrm>
        <a:prstGeom prst="ellipse">
          <a:avLst/>
        </a:prstGeom>
        <a:solidFill>
          <a:srgbClr val="808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0</xdr:row>
      <xdr:rowOff>228600</xdr:rowOff>
    </xdr:from>
    <xdr:to>
      <xdr:col>0</xdr:col>
      <xdr:colOff>238125</xdr:colOff>
      <xdr:row>0</xdr:row>
      <xdr:rowOff>352425</xdr:rowOff>
    </xdr:to>
    <xdr:pic>
      <xdr:nvPicPr>
        <xdr:cNvPr id="48" name="Picture 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" y="2286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34</xdr:row>
      <xdr:rowOff>38100</xdr:rowOff>
    </xdr:from>
    <xdr:to>
      <xdr:col>1</xdr:col>
      <xdr:colOff>190500</xdr:colOff>
      <xdr:row>34</xdr:row>
      <xdr:rowOff>142875</xdr:rowOff>
    </xdr:to>
    <xdr:sp>
      <xdr:nvSpPr>
        <xdr:cNvPr id="49" name="Oval 96"/>
        <xdr:cNvSpPr>
          <a:spLocks/>
        </xdr:cNvSpPr>
      </xdr:nvSpPr>
      <xdr:spPr>
        <a:xfrm>
          <a:off x="342900" y="8296275"/>
          <a:ext cx="114300" cy="104775"/>
        </a:xfrm>
        <a:prstGeom prst="ellipse">
          <a:avLst/>
        </a:prstGeom>
        <a:solidFill>
          <a:srgbClr val="808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35</xdr:row>
      <xdr:rowOff>38100</xdr:rowOff>
    </xdr:from>
    <xdr:to>
      <xdr:col>1</xdr:col>
      <xdr:colOff>190500</xdr:colOff>
      <xdr:row>35</xdr:row>
      <xdr:rowOff>142875</xdr:rowOff>
    </xdr:to>
    <xdr:sp>
      <xdr:nvSpPr>
        <xdr:cNvPr id="50" name="Oval 97"/>
        <xdr:cNvSpPr>
          <a:spLocks/>
        </xdr:cNvSpPr>
      </xdr:nvSpPr>
      <xdr:spPr>
        <a:xfrm>
          <a:off x="342900" y="8477250"/>
          <a:ext cx="114300" cy="104775"/>
        </a:xfrm>
        <a:prstGeom prst="ellipse">
          <a:avLst/>
        </a:prstGeom>
        <a:solidFill>
          <a:srgbClr val="808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36</xdr:row>
      <xdr:rowOff>38100</xdr:rowOff>
    </xdr:from>
    <xdr:to>
      <xdr:col>1</xdr:col>
      <xdr:colOff>190500</xdr:colOff>
      <xdr:row>36</xdr:row>
      <xdr:rowOff>142875</xdr:rowOff>
    </xdr:to>
    <xdr:sp>
      <xdr:nvSpPr>
        <xdr:cNvPr id="51" name="Oval 98"/>
        <xdr:cNvSpPr>
          <a:spLocks/>
        </xdr:cNvSpPr>
      </xdr:nvSpPr>
      <xdr:spPr>
        <a:xfrm>
          <a:off x="342900" y="8658225"/>
          <a:ext cx="114300" cy="104775"/>
        </a:xfrm>
        <a:prstGeom prst="ellipse">
          <a:avLst/>
        </a:prstGeom>
        <a:solidFill>
          <a:srgbClr val="808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8</xdr:row>
      <xdr:rowOff>19050</xdr:rowOff>
    </xdr:from>
    <xdr:to>
      <xdr:col>1</xdr:col>
      <xdr:colOff>209550</xdr:colOff>
      <xdr:row>8</xdr:row>
      <xdr:rowOff>123825</xdr:rowOff>
    </xdr:to>
    <xdr:sp>
      <xdr:nvSpPr>
        <xdr:cNvPr id="52" name="Oval 30"/>
        <xdr:cNvSpPr>
          <a:spLocks/>
        </xdr:cNvSpPr>
      </xdr:nvSpPr>
      <xdr:spPr>
        <a:xfrm>
          <a:off x="361950" y="3600450"/>
          <a:ext cx="114300" cy="104775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43</xdr:row>
      <xdr:rowOff>47625</xdr:rowOff>
    </xdr:from>
    <xdr:to>
      <xdr:col>1</xdr:col>
      <xdr:colOff>200025</xdr:colOff>
      <xdr:row>43</xdr:row>
      <xdr:rowOff>152400</xdr:rowOff>
    </xdr:to>
    <xdr:sp>
      <xdr:nvSpPr>
        <xdr:cNvPr id="53" name="Oval 41"/>
        <xdr:cNvSpPr>
          <a:spLocks/>
        </xdr:cNvSpPr>
      </xdr:nvSpPr>
      <xdr:spPr>
        <a:xfrm>
          <a:off x="352425" y="9906000"/>
          <a:ext cx="114300" cy="104775"/>
        </a:xfrm>
        <a:prstGeom prst="ellipse">
          <a:avLst/>
        </a:prstGeom>
        <a:solidFill>
          <a:srgbClr val="9966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43</xdr:row>
      <xdr:rowOff>47625</xdr:rowOff>
    </xdr:from>
    <xdr:to>
      <xdr:col>1</xdr:col>
      <xdr:colOff>200025</xdr:colOff>
      <xdr:row>43</xdr:row>
      <xdr:rowOff>152400</xdr:rowOff>
    </xdr:to>
    <xdr:sp>
      <xdr:nvSpPr>
        <xdr:cNvPr id="54" name="Oval 40"/>
        <xdr:cNvSpPr>
          <a:spLocks/>
        </xdr:cNvSpPr>
      </xdr:nvSpPr>
      <xdr:spPr>
        <a:xfrm>
          <a:off x="352425" y="9906000"/>
          <a:ext cx="114300" cy="104775"/>
        </a:xfrm>
        <a:prstGeom prst="ellipse">
          <a:avLst/>
        </a:prstGeom>
        <a:solidFill>
          <a:srgbClr val="832AA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37</xdr:row>
      <xdr:rowOff>38100</xdr:rowOff>
    </xdr:from>
    <xdr:to>
      <xdr:col>1</xdr:col>
      <xdr:colOff>190500</xdr:colOff>
      <xdr:row>37</xdr:row>
      <xdr:rowOff>142875</xdr:rowOff>
    </xdr:to>
    <xdr:sp>
      <xdr:nvSpPr>
        <xdr:cNvPr id="55" name="Oval 98"/>
        <xdr:cNvSpPr>
          <a:spLocks/>
        </xdr:cNvSpPr>
      </xdr:nvSpPr>
      <xdr:spPr>
        <a:xfrm>
          <a:off x="342900" y="8839200"/>
          <a:ext cx="114300" cy="104775"/>
        </a:xfrm>
        <a:prstGeom prst="ellipse">
          <a:avLst/>
        </a:prstGeom>
        <a:solidFill>
          <a:srgbClr val="808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55</xdr:row>
      <xdr:rowOff>47625</xdr:rowOff>
    </xdr:from>
    <xdr:to>
      <xdr:col>1</xdr:col>
      <xdr:colOff>200025</xdr:colOff>
      <xdr:row>55</xdr:row>
      <xdr:rowOff>152400</xdr:rowOff>
    </xdr:to>
    <xdr:sp>
      <xdr:nvSpPr>
        <xdr:cNvPr id="56" name="Oval 50"/>
        <xdr:cNvSpPr>
          <a:spLocks/>
        </xdr:cNvSpPr>
      </xdr:nvSpPr>
      <xdr:spPr>
        <a:xfrm>
          <a:off x="352425" y="12077700"/>
          <a:ext cx="114300" cy="104775"/>
        </a:xfrm>
        <a:prstGeom prst="ellipse">
          <a:avLst/>
        </a:prstGeom>
        <a:solidFill>
          <a:srgbClr val="9966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55</xdr:row>
      <xdr:rowOff>47625</xdr:rowOff>
    </xdr:from>
    <xdr:to>
      <xdr:col>1</xdr:col>
      <xdr:colOff>200025</xdr:colOff>
      <xdr:row>55</xdr:row>
      <xdr:rowOff>152400</xdr:rowOff>
    </xdr:to>
    <xdr:sp>
      <xdr:nvSpPr>
        <xdr:cNvPr id="57" name="Oval 51"/>
        <xdr:cNvSpPr>
          <a:spLocks/>
        </xdr:cNvSpPr>
      </xdr:nvSpPr>
      <xdr:spPr>
        <a:xfrm>
          <a:off x="352425" y="12077700"/>
          <a:ext cx="114300" cy="104775"/>
        </a:xfrm>
        <a:prstGeom prst="ellipse">
          <a:avLst/>
        </a:prstGeom>
        <a:solidFill>
          <a:srgbClr val="832AA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60</xdr:row>
      <xdr:rowOff>47625</xdr:rowOff>
    </xdr:from>
    <xdr:to>
      <xdr:col>1</xdr:col>
      <xdr:colOff>190500</xdr:colOff>
      <xdr:row>60</xdr:row>
      <xdr:rowOff>152400</xdr:rowOff>
    </xdr:to>
    <xdr:sp>
      <xdr:nvSpPr>
        <xdr:cNvPr id="58" name="Oval 57"/>
        <xdr:cNvSpPr>
          <a:spLocks/>
        </xdr:cNvSpPr>
      </xdr:nvSpPr>
      <xdr:spPr>
        <a:xfrm>
          <a:off x="342900" y="12954000"/>
          <a:ext cx="114300" cy="104775"/>
        </a:xfrm>
        <a:prstGeom prst="ellipse">
          <a:avLst/>
        </a:prstGeom>
        <a:solidFill>
          <a:srgbClr val="00B05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58</xdr:row>
      <xdr:rowOff>47625</xdr:rowOff>
    </xdr:from>
    <xdr:to>
      <xdr:col>1</xdr:col>
      <xdr:colOff>190500</xdr:colOff>
      <xdr:row>58</xdr:row>
      <xdr:rowOff>152400</xdr:rowOff>
    </xdr:to>
    <xdr:sp>
      <xdr:nvSpPr>
        <xdr:cNvPr id="59" name="Oval 55"/>
        <xdr:cNvSpPr>
          <a:spLocks/>
        </xdr:cNvSpPr>
      </xdr:nvSpPr>
      <xdr:spPr>
        <a:xfrm>
          <a:off x="342900" y="12592050"/>
          <a:ext cx="114300" cy="104775"/>
        </a:xfrm>
        <a:prstGeom prst="ellipse">
          <a:avLst/>
        </a:prstGeom>
        <a:solidFill>
          <a:srgbClr val="00B05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27</xdr:row>
      <xdr:rowOff>47625</xdr:rowOff>
    </xdr:from>
    <xdr:to>
      <xdr:col>1</xdr:col>
      <xdr:colOff>209550</xdr:colOff>
      <xdr:row>27</xdr:row>
      <xdr:rowOff>152400</xdr:rowOff>
    </xdr:to>
    <xdr:sp>
      <xdr:nvSpPr>
        <xdr:cNvPr id="60" name="Oval 11"/>
        <xdr:cNvSpPr>
          <a:spLocks/>
        </xdr:cNvSpPr>
      </xdr:nvSpPr>
      <xdr:spPr>
        <a:xfrm>
          <a:off x="361950" y="7058025"/>
          <a:ext cx="114300" cy="104775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28</xdr:row>
      <xdr:rowOff>28575</xdr:rowOff>
    </xdr:from>
    <xdr:to>
      <xdr:col>1</xdr:col>
      <xdr:colOff>209550</xdr:colOff>
      <xdr:row>28</xdr:row>
      <xdr:rowOff>133350</xdr:rowOff>
    </xdr:to>
    <xdr:sp>
      <xdr:nvSpPr>
        <xdr:cNvPr id="61" name="Oval 24"/>
        <xdr:cNvSpPr>
          <a:spLocks/>
        </xdr:cNvSpPr>
      </xdr:nvSpPr>
      <xdr:spPr>
        <a:xfrm>
          <a:off x="361950" y="7219950"/>
          <a:ext cx="114300" cy="104775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29</xdr:row>
      <xdr:rowOff>28575</xdr:rowOff>
    </xdr:from>
    <xdr:to>
      <xdr:col>1</xdr:col>
      <xdr:colOff>209550</xdr:colOff>
      <xdr:row>29</xdr:row>
      <xdr:rowOff>133350</xdr:rowOff>
    </xdr:to>
    <xdr:sp>
      <xdr:nvSpPr>
        <xdr:cNvPr id="62" name="Oval 30"/>
        <xdr:cNvSpPr>
          <a:spLocks/>
        </xdr:cNvSpPr>
      </xdr:nvSpPr>
      <xdr:spPr>
        <a:xfrm>
          <a:off x="361950" y="7400925"/>
          <a:ext cx="114300" cy="104775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30</xdr:row>
      <xdr:rowOff>28575</xdr:rowOff>
    </xdr:from>
    <xdr:to>
      <xdr:col>1</xdr:col>
      <xdr:colOff>209550</xdr:colOff>
      <xdr:row>30</xdr:row>
      <xdr:rowOff>133350</xdr:rowOff>
    </xdr:to>
    <xdr:sp>
      <xdr:nvSpPr>
        <xdr:cNvPr id="63" name="Oval 34"/>
        <xdr:cNvSpPr>
          <a:spLocks/>
        </xdr:cNvSpPr>
      </xdr:nvSpPr>
      <xdr:spPr>
        <a:xfrm>
          <a:off x="361950" y="7581900"/>
          <a:ext cx="114300" cy="104775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31</xdr:row>
      <xdr:rowOff>28575</xdr:rowOff>
    </xdr:from>
    <xdr:to>
      <xdr:col>1</xdr:col>
      <xdr:colOff>209550</xdr:colOff>
      <xdr:row>31</xdr:row>
      <xdr:rowOff>133350</xdr:rowOff>
    </xdr:to>
    <xdr:sp>
      <xdr:nvSpPr>
        <xdr:cNvPr id="64" name="Oval 35"/>
        <xdr:cNvSpPr>
          <a:spLocks/>
        </xdr:cNvSpPr>
      </xdr:nvSpPr>
      <xdr:spPr>
        <a:xfrm>
          <a:off x="361950" y="7762875"/>
          <a:ext cx="114300" cy="104775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16</xdr:row>
      <xdr:rowOff>19050</xdr:rowOff>
    </xdr:from>
    <xdr:to>
      <xdr:col>1</xdr:col>
      <xdr:colOff>209550</xdr:colOff>
      <xdr:row>16</xdr:row>
      <xdr:rowOff>123825</xdr:rowOff>
    </xdr:to>
    <xdr:sp>
      <xdr:nvSpPr>
        <xdr:cNvPr id="65" name="Oval 17"/>
        <xdr:cNvSpPr>
          <a:spLocks/>
        </xdr:cNvSpPr>
      </xdr:nvSpPr>
      <xdr:spPr>
        <a:xfrm>
          <a:off x="361950" y="5038725"/>
          <a:ext cx="114300" cy="104775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371475</xdr:rowOff>
    </xdr:from>
    <xdr:to>
      <xdr:col>0</xdr:col>
      <xdr:colOff>228600</xdr:colOff>
      <xdr:row>0</xdr:row>
      <xdr:rowOff>476250</xdr:rowOff>
    </xdr:to>
    <xdr:sp>
      <xdr:nvSpPr>
        <xdr:cNvPr id="66" name="Oval 39"/>
        <xdr:cNvSpPr>
          <a:spLocks/>
        </xdr:cNvSpPr>
      </xdr:nvSpPr>
      <xdr:spPr>
        <a:xfrm>
          <a:off x="114300" y="371475"/>
          <a:ext cx="114300" cy="104775"/>
        </a:xfrm>
        <a:prstGeom prst="ellipse">
          <a:avLst/>
        </a:prstGeom>
        <a:solidFill>
          <a:srgbClr val="832AA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0</xdr:row>
      <xdr:rowOff>523875</xdr:rowOff>
    </xdr:from>
    <xdr:to>
      <xdr:col>0</xdr:col>
      <xdr:colOff>219075</xdr:colOff>
      <xdr:row>0</xdr:row>
      <xdr:rowOff>628650</xdr:rowOff>
    </xdr:to>
    <xdr:sp>
      <xdr:nvSpPr>
        <xdr:cNvPr id="67" name="Oval 55"/>
        <xdr:cNvSpPr>
          <a:spLocks/>
        </xdr:cNvSpPr>
      </xdr:nvSpPr>
      <xdr:spPr>
        <a:xfrm>
          <a:off x="104775" y="523875"/>
          <a:ext cx="114300" cy="104775"/>
        </a:xfrm>
        <a:prstGeom prst="ellipse">
          <a:avLst/>
        </a:prstGeom>
        <a:solidFill>
          <a:srgbClr val="00B05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1285875</xdr:colOff>
      <xdr:row>0</xdr:row>
      <xdr:rowOff>19050</xdr:rowOff>
    </xdr:from>
    <xdr:to>
      <xdr:col>4</xdr:col>
      <xdr:colOff>1400175</xdr:colOff>
      <xdr:row>0</xdr:row>
      <xdr:rowOff>123825</xdr:rowOff>
    </xdr:to>
    <xdr:sp>
      <xdr:nvSpPr>
        <xdr:cNvPr id="68" name="Oval 60"/>
        <xdr:cNvSpPr>
          <a:spLocks/>
        </xdr:cNvSpPr>
      </xdr:nvSpPr>
      <xdr:spPr>
        <a:xfrm>
          <a:off x="3343275" y="19050"/>
          <a:ext cx="114300" cy="104775"/>
        </a:xfrm>
        <a:prstGeom prst="ellipse">
          <a:avLst/>
        </a:prstGeom>
        <a:solidFill>
          <a:srgbClr val="CC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1295400</xdr:colOff>
      <xdr:row>0</xdr:row>
      <xdr:rowOff>200025</xdr:rowOff>
    </xdr:from>
    <xdr:to>
      <xdr:col>4</xdr:col>
      <xdr:colOff>1409700</xdr:colOff>
      <xdr:row>0</xdr:row>
      <xdr:rowOff>304800</xdr:rowOff>
    </xdr:to>
    <xdr:sp>
      <xdr:nvSpPr>
        <xdr:cNvPr id="69" name="Oval 60"/>
        <xdr:cNvSpPr>
          <a:spLocks/>
        </xdr:cNvSpPr>
      </xdr:nvSpPr>
      <xdr:spPr>
        <a:xfrm>
          <a:off x="3352800" y="200025"/>
          <a:ext cx="114300" cy="104775"/>
        </a:xfrm>
        <a:prstGeom prst="ellipse">
          <a:avLst/>
        </a:prstGeom>
        <a:solidFill>
          <a:srgbClr val="4A452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219075</xdr:colOff>
      <xdr:row>45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24675" cy="733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6"/>
  <sheetViews>
    <sheetView tabSelected="1" zoomScale="88" zoomScaleNormal="88" zoomScaleSheetLayoutView="100" zoomScalePageLayoutView="75" workbookViewId="0" topLeftCell="A16">
      <selection activeCell="P35" sqref="P35"/>
    </sheetView>
  </sheetViews>
  <sheetFormatPr defaultColWidth="9.140625" defaultRowHeight="12.75"/>
  <cols>
    <col min="1" max="1" width="4.00390625" style="203" customWidth="1"/>
    <col min="2" max="2" width="5.00390625" style="203" customWidth="1"/>
    <col min="3" max="3" width="3.7109375" style="203" customWidth="1"/>
    <col min="4" max="4" width="18.140625" style="203" customWidth="1"/>
    <col min="5" max="5" width="21.421875" style="203" customWidth="1"/>
    <col min="6" max="6" width="6.8515625" style="203" customWidth="1"/>
    <col min="7" max="13" width="2.7109375" style="203" customWidth="1"/>
    <col min="14" max="14" width="10.140625" style="203" customWidth="1"/>
    <col min="15" max="15" width="10.28125" style="203" customWidth="1"/>
    <col min="16" max="16" width="11.7109375" style="264" customWidth="1"/>
    <col min="17" max="17" width="10.7109375" style="264" customWidth="1"/>
    <col min="18" max="18" width="12.421875" style="264" customWidth="1"/>
    <col min="19" max="19" width="9.00390625" style="264" customWidth="1"/>
    <col min="20" max="20" width="9.7109375" style="264" customWidth="1"/>
    <col min="21" max="21" width="9.421875" style="264" customWidth="1"/>
    <col min="22" max="22" width="37.7109375" style="264" customWidth="1"/>
    <col min="23" max="23" width="29.57421875" style="203" customWidth="1"/>
    <col min="24" max="26" width="9.140625" style="203" customWidth="1"/>
    <col min="27" max="27" width="8.421875" style="203" customWidth="1"/>
    <col min="28" max="28" width="5.57421875" style="203" hidden="1" customWidth="1"/>
    <col min="29" max="16384" width="9.140625" style="203" customWidth="1"/>
  </cols>
  <sheetData>
    <row r="1" spans="1:28" ht="58.5" customHeight="1">
      <c r="A1" s="199"/>
      <c r="B1" s="323" t="s">
        <v>126</v>
      </c>
      <c r="C1" s="324"/>
      <c r="D1" s="325"/>
      <c r="E1" s="200"/>
      <c r="F1" s="323" t="s">
        <v>368</v>
      </c>
      <c r="G1" s="324"/>
      <c r="H1" s="324"/>
      <c r="I1" s="324"/>
      <c r="J1" s="324"/>
      <c r="K1" s="324"/>
      <c r="L1" s="324"/>
      <c r="M1" s="324"/>
      <c r="N1" s="285"/>
      <c r="O1" s="285"/>
      <c r="P1" s="201"/>
      <c r="Q1" s="201"/>
      <c r="R1" s="202"/>
      <c r="S1" s="202"/>
      <c r="T1" s="202"/>
      <c r="U1" s="202"/>
      <c r="V1" s="202"/>
      <c r="W1" s="271"/>
      <c r="X1" s="267"/>
      <c r="Y1" s="268"/>
      <c r="Z1" s="268"/>
      <c r="AA1" s="269"/>
      <c r="AB1" s="272"/>
    </row>
    <row r="2" spans="1:28" ht="140.25" customHeight="1">
      <c r="A2" s="199" t="s">
        <v>39</v>
      </c>
      <c r="B2" s="204" t="s">
        <v>38</v>
      </c>
      <c r="C2" s="199" t="s">
        <v>34</v>
      </c>
      <c r="D2" s="204" t="s">
        <v>36</v>
      </c>
      <c r="E2" s="204" t="s">
        <v>37</v>
      </c>
      <c r="F2" s="199" t="s">
        <v>35</v>
      </c>
      <c r="G2" s="205" t="s">
        <v>330</v>
      </c>
      <c r="H2" s="199" t="s">
        <v>4</v>
      </c>
      <c r="I2" s="199" t="s">
        <v>141</v>
      </c>
      <c r="J2" s="199" t="s">
        <v>142</v>
      </c>
      <c r="K2" s="199" t="s">
        <v>331</v>
      </c>
      <c r="L2" s="199" t="s">
        <v>143</v>
      </c>
      <c r="M2" s="199" t="s">
        <v>144</v>
      </c>
      <c r="N2" s="292" t="s">
        <v>370</v>
      </c>
      <c r="O2" s="292" t="s">
        <v>371</v>
      </c>
      <c r="P2" s="202" t="s">
        <v>229</v>
      </c>
      <c r="Q2" s="202" t="s">
        <v>309</v>
      </c>
      <c r="R2" s="202" t="s">
        <v>146</v>
      </c>
      <c r="S2" s="202" t="s">
        <v>348</v>
      </c>
      <c r="T2" s="202" t="s">
        <v>349</v>
      </c>
      <c r="U2" s="202" t="s">
        <v>350</v>
      </c>
      <c r="V2" s="202" t="s">
        <v>353</v>
      </c>
      <c r="W2" s="271" t="s">
        <v>351</v>
      </c>
      <c r="X2" s="320" t="s">
        <v>352</v>
      </c>
      <c r="Y2" s="321"/>
      <c r="Z2" s="321"/>
      <c r="AA2" s="321"/>
      <c r="AB2" s="322"/>
    </row>
    <row r="3" spans="1:28" ht="12" customHeight="1">
      <c r="A3" s="206"/>
      <c r="B3" s="207"/>
      <c r="C3" s="208"/>
      <c r="D3" s="209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10"/>
      <c r="Q3" s="210"/>
      <c r="R3" s="210"/>
      <c r="S3" s="210"/>
      <c r="T3" s="210"/>
      <c r="U3" s="210"/>
      <c r="V3" s="210"/>
      <c r="W3" s="211"/>
      <c r="X3" s="273"/>
      <c r="Y3" s="208"/>
      <c r="Z3" s="208"/>
      <c r="AA3" s="208"/>
      <c r="AB3" s="274"/>
    </row>
    <row r="4" spans="1:28" ht="14.25" customHeight="1">
      <c r="A4" s="212" t="s">
        <v>334</v>
      </c>
      <c r="B4" s="212"/>
      <c r="C4" s="209"/>
      <c r="D4" s="209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10"/>
      <c r="Q4" s="210"/>
      <c r="R4" s="210"/>
      <c r="S4" s="210"/>
      <c r="T4" s="210"/>
      <c r="U4" s="210"/>
      <c r="V4" s="210"/>
      <c r="W4" s="213"/>
      <c r="X4" s="326" t="s">
        <v>369</v>
      </c>
      <c r="Y4" s="327"/>
      <c r="Z4" s="327"/>
      <c r="AA4" s="327"/>
      <c r="AB4" s="328"/>
    </row>
    <row r="5" spans="1:28" s="221" customFormat="1" ht="14.25" customHeight="1">
      <c r="A5" s="214">
        <v>7</v>
      </c>
      <c r="B5" s="215"/>
      <c r="C5" s="214">
        <v>12</v>
      </c>
      <c r="D5" s="216" t="s">
        <v>341</v>
      </c>
      <c r="E5" s="217" t="s">
        <v>124</v>
      </c>
      <c r="F5" s="214">
        <v>32221</v>
      </c>
      <c r="G5" s="214" t="s">
        <v>156</v>
      </c>
      <c r="H5" s="214"/>
      <c r="I5" s="214" t="s">
        <v>156</v>
      </c>
      <c r="J5" s="214"/>
      <c r="K5" s="214"/>
      <c r="L5" s="214" t="s">
        <v>156</v>
      </c>
      <c r="M5" s="214" t="s">
        <v>156</v>
      </c>
      <c r="N5" s="310">
        <f>SUM(Q5*0.66)</f>
        <v>63450.82259999999</v>
      </c>
      <c r="O5" s="310">
        <v>311756</v>
      </c>
      <c r="P5" s="218">
        <v>215618</v>
      </c>
      <c r="Q5" s="218">
        <f>SUM('Cecil Gym'!O8)</f>
        <v>96137.60999999999</v>
      </c>
      <c r="R5" s="218">
        <f aca="true" t="shared" si="0" ref="R5:R11">SUM(P5,Q5)</f>
        <v>311755.61</v>
      </c>
      <c r="S5" s="219">
        <f>(48263+35229)/2</f>
        <v>41746</v>
      </c>
      <c r="T5" s="219">
        <f>(66530+43229)/2</f>
        <v>54879.5</v>
      </c>
      <c r="U5" s="220">
        <f>(3.34+5.14)/2</f>
        <v>4.24</v>
      </c>
      <c r="V5" s="220"/>
      <c r="W5" s="265" t="s">
        <v>340</v>
      </c>
      <c r="X5" s="329"/>
      <c r="Y5" s="330"/>
      <c r="Z5" s="330"/>
      <c r="AA5" s="330"/>
      <c r="AB5" s="331"/>
    </row>
    <row r="6" spans="1:28" s="221" customFormat="1" ht="14.25" customHeight="1">
      <c r="A6" s="214">
        <v>8</v>
      </c>
      <c r="B6" s="215"/>
      <c r="C6" s="214">
        <v>12</v>
      </c>
      <c r="D6" s="216" t="s">
        <v>46</v>
      </c>
      <c r="E6" s="217" t="s">
        <v>84</v>
      </c>
      <c r="F6" s="214">
        <v>32221</v>
      </c>
      <c r="G6" s="214"/>
      <c r="H6" s="214" t="s">
        <v>156</v>
      </c>
      <c r="I6" s="214" t="s">
        <v>156</v>
      </c>
      <c r="J6" s="214" t="s">
        <v>156</v>
      </c>
      <c r="K6" s="214" t="s">
        <v>156</v>
      </c>
      <c r="L6" s="214"/>
      <c r="M6" s="214" t="s">
        <v>156</v>
      </c>
      <c r="N6" s="310">
        <f aca="true" t="shared" si="1" ref="N6:N11">SUM(Q6*0.66)</f>
        <v>108579.2928</v>
      </c>
      <c r="O6" s="310">
        <v>378214</v>
      </c>
      <c r="P6" s="218">
        <v>179553</v>
      </c>
      <c r="Q6" s="218">
        <f>SUM('Cecil Rec.'!W12)</f>
        <v>164514.08</v>
      </c>
      <c r="R6" s="218">
        <f t="shared" si="0"/>
        <v>344067.07999999996</v>
      </c>
      <c r="S6" s="219">
        <f>(2727+3806)/2</f>
        <v>3266.5</v>
      </c>
      <c r="T6" s="219">
        <f>(39227+12532)/2</f>
        <v>25879.5</v>
      </c>
      <c r="U6" s="220">
        <f>(1.57+3.56)/2</f>
        <v>2.565</v>
      </c>
      <c r="V6" s="220"/>
      <c r="W6" s="265" t="s">
        <v>347</v>
      </c>
      <c r="X6" s="329"/>
      <c r="Y6" s="330"/>
      <c r="Z6" s="330"/>
      <c r="AA6" s="330"/>
      <c r="AB6" s="331"/>
    </row>
    <row r="7" spans="1:28" s="221" customFormat="1" ht="14.25" customHeight="1">
      <c r="A7" s="214">
        <v>11</v>
      </c>
      <c r="B7" s="222"/>
      <c r="C7" s="214">
        <v>4</v>
      </c>
      <c r="D7" s="216" t="s">
        <v>59</v>
      </c>
      <c r="E7" s="217" t="s">
        <v>91</v>
      </c>
      <c r="F7" s="214">
        <v>32207</v>
      </c>
      <c r="G7" s="214" t="s">
        <v>156</v>
      </c>
      <c r="H7" s="214" t="s">
        <v>156</v>
      </c>
      <c r="I7" s="214" t="s">
        <v>156</v>
      </c>
      <c r="J7" s="214" t="s">
        <v>156</v>
      </c>
      <c r="K7" s="214" t="s">
        <v>156</v>
      </c>
      <c r="L7" s="214" t="s">
        <v>156</v>
      </c>
      <c r="M7" s="214" t="s">
        <v>156</v>
      </c>
      <c r="N7" s="310">
        <f t="shared" si="1"/>
        <v>90452.8614</v>
      </c>
      <c r="O7" s="310">
        <v>309411</v>
      </c>
      <c r="P7" s="218">
        <f>SUM('Cuba Hunter'!C32)</f>
        <v>192411.34</v>
      </c>
      <c r="Q7" s="218">
        <f>SUM('Cuba Hunter'!U9)</f>
        <v>137049.78999999998</v>
      </c>
      <c r="R7" s="218">
        <f t="shared" si="0"/>
        <v>329461.13</v>
      </c>
      <c r="S7" s="219">
        <f>(13771+27084)/2</f>
        <v>20427.5</v>
      </c>
      <c r="T7" s="219">
        <f>(31678+13971)/2</f>
        <v>22824.5</v>
      </c>
      <c r="U7" s="220">
        <f>(15.41+9.26)/2</f>
        <v>12.335</v>
      </c>
      <c r="V7" s="220"/>
      <c r="W7" s="266"/>
      <c r="X7" s="329"/>
      <c r="Y7" s="330"/>
      <c r="Z7" s="330"/>
      <c r="AA7" s="330"/>
      <c r="AB7" s="331"/>
    </row>
    <row r="8" spans="1:28" s="221" customFormat="1" ht="14.25" customHeight="1">
      <c r="A8" s="214">
        <v>14</v>
      </c>
      <c r="B8" s="222"/>
      <c r="C8" s="214">
        <v>8</v>
      </c>
      <c r="D8" s="216" t="s">
        <v>160</v>
      </c>
      <c r="E8" s="217" t="s">
        <v>111</v>
      </c>
      <c r="F8" s="214">
        <v>32209</v>
      </c>
      <c r="G8" s="214"/>
      <c r="H8" s="214" t="s">
        <v>156</v>
      </c>
      <c r="I8" s="214" t="s">
        <v>156</v>
      </c>
      <c r="J8" s="214" t="s">
        <v>156</v>
      </c>
      <c r="K8" s="214" t="s">
        <v>156</v>
      </c>
      <c r="L8" s="214" t="s">
        <v>156</v>
      </c>
      <c r="M8" s="214" t="s">
        <v>156</v>
      </c>
      <c r="N8" s="310">
        <f t="shared" si="1"/>
        <v>119083.2654</v>
      </c>
      <c r="O8" s="310">
        <v>304741</v>
      </c>
      <c r="P8" s="218">
        <f>SUM('Emmett Reed '!C29)</f>
        <v>171533.42</v>
      </c>
      <c r="Q8" s="218">
        <f>SUM('Emmett Reed '!U7)</f>
        <v>180429.19</v>
      </c>
      <c r="R8" s="218">
        <f t="shared" si="0"/>
        <v>351962.61</v>
      </c>
      <c r="S8" s="224">
        <f>(8851+12548)/2</f>
        <v>10699.5</v>
      </c>
      <c r="T8" s="225">
        <f>(23774+18849)/2</f>
        <v>21311.5</v>
      </c>
      <c r="U8" s="220">
        <f>(9.12+13.38)/2</f>
        <v>11.25</v>
      </c>
      <c r="V8" s="220"/>
      <c r="W8" s="266"/>
      <c r="X8" s="329"/>
      <c r="Y8" s="330"/>
      <c r="Z8" s="330"/>
      <c r="AA8" s="330"/>
      <c r="AB8" s="331"/>
    </row>
    <row r="9" spans="1:28" s="221" customFormat="1" ht="14.25" customHeight="1">
      <c r="A9" s="214">
        <v>48</v>
      </c>
      <c r="B9" s="222"/>
      <c r="C9" s="214">
        <v>10</v>
      </c>
      <c r="D9" s="216" t="s">
        <v>342</v>
      </c>
      <c r="E9" s="217" t="s">
        <v>226</v>
      </c>
      <c r="F9" s="214">
        <v>32208</v>
      </c>
      <c r="G9" s="214" t="s">
        <v>156</v>
      </c>
      <c r="H9" s="214" t="s">
        <v>156</v>
      </c>
      <c r="I9" s="214" t="s">
        <v>156</v>
      </c>
      <c r="J9" s="214" t="s">
        <v>156</v>
      </c>
      <c r="K9" s="214" t="s">
        <v>156</v>
      </c>
      <c r="L9" s="214" t="s">
        <v>156</v>
      </c>
      <c r="M9" s="214" t="s">
        <v>156</v>
      </c>
      <c r="N9" s="310">
        <f t="shared" si="1"/>
        <v>74728.9884</v>
      </c>
      <c r="O9" s="310">
        <v>242425</v>
      </c>
      <c r="P9" s="218">
        <f>SUM(Legends!C35)</f>
        <v>208225.66</v>
      </c>
      <c r="Q9" s="218">
        <f>SUM(Legends!U11)</f>
        <v>113225.74</v>
      </c>
      <c r="R9" s="218">
        <f t="shared" si="0"/>
        <v>321451.4</v>
      </c>
      <c r="S9" s="219">
        <f>(42436+40188)/2</f>
        <v>41312</v>
      </c>
      <c r="T9" s="225">
        <f>(60553+43236)/2</f>
        <v>51894.5</v>
      </c>
      <c r="U9" s="220">
        <f>(4.8+5.91)/2</f>
        <v>5.355</v>
      </c>
      <c r="V9" s="220"/>
      <c r="W9" s="266" t="s">
        <v>339</v>
      </c>
      <c r="X9" s="329"/>
      <c r="Y9" s="330"/>
      <c r="Z9" s="330"/>
      <c r="AA9" s="330"/>
      <c r="AB9" s="331"/>
    </row>
    <row r="10" spans="1:28" s="221" customFormat="1" ht="14.25" customHeight="1">
      <c r="A10" s="214">
        <v>20</v>
      </c>
      <c r="B10" s="222"/>
      <c r="C10" s="214">
        <v>10</v>
      </c>
      <c r="D10" s="216" t="s">
        <v>55</v>
      </c>
      <c r="E10" s="217" t="s">
        <v>88</v>
      </c>
      <c r="F10" s="214">
        <v>32210</v>
      </c>
      <c r="G10" s="214" t="s">
        <v>156</v>
      </c>
      <c r="H10" s="214" t="s">
        <v>156</v>
      </c>
      <c r="I10" s="214" t="s">
        <v>156</v>
      </c>
      <c r="J10" s="214" t="s">
        <v>156</v>
      </c>
      <c r="K10" s="214" t="s">
        <v>156</v>
      </c>
      <c r="L10" s="214" t="s">
        <v>156</v>
      </c>
      <c r="M10" s="214" t="s">
        <v>156</v>
      </c>
      <c r="N10" s="310">
        <f t="shared" si="1"/>
        <v>48107.9742</v>
      </c>
      <c r="O10" s="310">
        <v>156916</v>
      </c>
      <c r="P10" s="218">
        <f>SUM('ML Gibbs '!C28)</f>
        <v>140894.48</v>
      </c>
      <c r="Q10" s="218">
        <f>SUM('ML Gibbs '!S9)</f>
        <v>72890.87</v>
      </c>
      <c r="R10" s="218">
        <f t="shared" si="0"/>
        <v>213785.35</v>
      </c>
      <c r="S10" s="219">
        <f>(16816+2352)/2</f>
        <v>9584</v>
      </c>
      <c r="T10" s="219">
        <f>(16816+2352)/2</f>
        <v>9584</v>
      </c>
      <c r="U10" s="220">
        <f>(9.16+37.99)/2</f>
        <v>23.575000000000003</v>
      </c>
      <c r="V10" s="220"/>
      <c r="W10" s="266"/>
      <c r="X10" s="329"/>
      <c r="Y10" s="330"/>
      <c r="Z10" s="330"/>
      <c r="AA10" s="330"/>
      <c r="AB10" s="331"/>
    </row>
    <row r="11" spans="1:28" s="221" customFormat="1" ht="14.25" customHeight="1">
      <c r="A11" s="214">
        <v>24</v>
      </c>
      <c r="B11" s="222"/>
      <c r="C11" s="214">
        <v>7</v>
      </c>
      <c r="D11" s="216" t="s">
        <v>127</v>
      </c>
      <c r="E11" s="217" t="s">
        <v>116</v>
      </c>
      <c r="F11" s="214">
        <v>32206</v>
      </c>
      <c r="G11" s="214" t="s">
        <v>156</v>
      </c>
      <c r="H11" s="214" t="s">
        <v>156</v>
      </c>
      <c r="I11" s="214" t="s">
        <v>156</v>
      </c>
      <c r="J11" s="214" t="s">
        <v>156</v>
      </c>
      <c r="K11" s="214" t="s">
        <v>156</v>
      </c>
      <c r="L11" s="214" t="s">
        <v>156</v>
      </c>
      <c r="M11" s="214" t="s">
        <v>156</v>
      </c>
      <c r="N11" s="310">
        <f t="shared" si="1"/>
        <v>149112.48</v>
      </c>
      <c r="O11" s="310">
        <v>364206</v>
      </c>
      <c r="P11" s="218">
        <f>SUM('Kennedy '!C30)</f>
        <v>176679.52000000002</v>
      </c>
      <c r="Q11" s="218">
        <f>SUM('Kennedy '!S8)</f>
        <v>225928</v>
      </c>
      <c r="R11" s="218">
        <f t="shared" si="0"/>
        <v>402607.52</v>
      </c>
      <c r="S11" s="219">
        <f>(22969+25362)/2</f>
        <v>24165.5</v>
      </c>
      <c r="T11" s="219">
        <f>(43428+46041)/2</f>
        <v>44734.5</v>
      </c>
      <c r="U11" s="220">
        <f>(7.37+7.44)/2</f>
        <v>7.405</v>
      </c>
      <c r="V11" s="220"/>
      <c r="W11" s="266"/>
      <c r="X11" s="332"/>
      <c r="Y11" s="333"/>
      <c r="Z11" s="333"/>
      <c r="AA11" s="333"/>
      <c r="AB11" s="334"/>
    </row>
    <row r="12" spans="1:28" s="221" customFormat="1" ht="14.25" customHeight="1">
      <c r="A12" s="207"/>
      <c r="B12" s="226"/>
      <c r="C12" s="207"/>
      <c r="D12" s="209"/>
      <c r="E12" s="209"/>
      <c r="F12" s="207"/>
      <c r="G12" s="207"/>
      <c r="H12" s="207"/>
      <c r="I12" s="207"/>
      <c r="J12" s="287"/>
      <c r="K12" s="287"/>
      <c r="L12" s="288"/>
      <c r="M12" s="288"/>
      <c r="N12" s="288" t="s">
        <v>372</v>
      </c>
      <c r="O12" s="288"/>
      <c r="P12" s="289"/>
      <c r="Q12" s="289"/>
      <c r="R12" s="290">
        <f>SUM(R5:R11)</f>
        <v>2275090.7</v>
      </c>
      <c r="S12" s="227"/>
      <c r="T12" s="228"/>
      <c r="U12" s="210"/>
      <c r="V12" s="210"/>
      <c r="W12" s="213"/>
      <c r="X12" s="275"/>
      <c r="Y12" s="276"/>
      <c r="Z12" s="276"/>
      <c r="AA12" s="276"/>
      <c r="AB12" s="277"/>
    </row>
    <row r="13" spans="1:28" ht="13.5" customHeight="1">
      <c r="A13" s="212" t="s">
        <v>335</v>
      </c>
      <c r="B13" s="212"/>
      <c r="C13" s="209"/>
      <c r="D13" s="209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10"/>
      <c r="Q13" s="210"/>
      <c r="R13" s="210"/>
      <c r="S13" s="227"/>
      <c r="T13" s="228"/>
      <c r="U13" s="210"/>
      <c r="V13" s="210"/>
      <c r="W13" s="213"/>
      <c r="X13" s="326" t="s">
        <v>343</v>
      </c>
      <c r="Y13" s="327"/>
      <c r="Z13" s="327"/>
      <c r="AA13" s="327"/>
      <c r="AB13" s="328"/>
    </row>
    <row r="14" spans="1:28" ht="14.25" customHeight="1">
      <c r="A14" s="229">
        <v>1</v>
      </c>
      <c r="B14" s="230"/>
      <c r="C14" s="229">
        <v>5</v>
      </c>
      <c r="D14" s="231" t="s">
        <v>40</v>
      </c>
      <c r="E14" s="217" t="s">
        <v>109</v>
      </c>
      <c r="F14" s="214">
        <v>32207</v>
      </c>
      <c r="G14" s="229" t="s">
        <v>156</v>
      </c>
      <c r="H14" s="229"/>
      <c r="I14" s="229"/>
      <c r="J14" s="229" t="s">
        <v>156</v>
      </c>
      <c r="K14" s="229" t="s">
        <v>156</v>
      </c>
      <c r="L14" s="229"/>
      <c r="M14" s="229"/>
      <c r="N14" s="310">
        <f aca="true" t="shared" si="2" ref="N14:N19">SUM(Q14*0.66)</f>
        <v>63508.48680000001</v>
      </c>
      <c r="O14" s="311">
        <v>162120</v>
      </c>
      <c r="P14" s="218">
        <f>SUM(Balis!B9)</f>
        <v>46292</v>
      </c>
      <c r="Q14" s="218">
        <f>SUM(Balis!B5)</f>
        <v>96224.98000000001</v>
      </c>
      <c r="R14" s="218">
        <f aca="true" t="shared" si="3" ref="R14:R19">SUM(P14,Q14)</f>
        <v>142516.98</v>
      </c>
      <c r="S14" s="232">
        <f>(8081+7661)/2</f>
        <v>7871</v>
      </c>
      <c r="T14" s="219">
        <f>(10460+12809)/2</f>
        <v>11634.5</v>
      </c>
      <c r="U14" s="220">
        <f>(10.22+13.11)/2</f>
        <v>11.665</v>
      </c>
      <c r="V14" s="220" t="s">
        <v>354</v>
      </c>
      <c r="W14" s="266" t="s">
        <v>329</v>
      </c>
      <c r="X14" s="329"/>
      <c r="Y14" s="330"/>
      <c r="Z14" s="330"/>
      <c r="AA14" s="330"/>
      <c r="AB14" s="331"/>
    </row>
    <row r="15" spans="1:28" ht="14.25" customHeight="1">
      <c r="A15" s="229">
        <v>2</v>
      </c>
      <c r="B15" s="233"/>
      <c r="C15" s="229">
        <v>8</v>
      </c>
      <c r="D15" s="231" t="s">
        <v>41</v>
      </c>
      <c r="E15" s="217" t="s">
        <v>80</v>
      </c>
      <c r="F15" s="214">
        <v>32218</v>
      </c>
      <c r="G15" s="229"/>
      <c r="H15" s="229"/>
      <c r="I15" s="229" t="s">
        <v>156</v>
      </c>
      <c r="J15" s="229" t="s">
        <v>156</v>
      </c>
      <c r="K15" s="229" t="s">
        <v>156</v>
      </c>
      <c r="L15" s="229"/>
      <c r="M15" s="229"/>
      <c r="N15" s="310">
        <f t="shared" si="2"/>
        <v>22971.399</v>
      </c>
      <c r="O15" s="311">
        <v>203472</v>
      </c>
      <c r="P15" s="218">
        <f>SUM(Bethesda!C22)</f>
        <v>76802.74</v>
      </c>
      <c r="Q15" s="218">
        <f>SUM(Bethesda!Q5)</f>
        <v>34805.15</v>
      </c>
      <c r="R15" s="218">
        <f t="shared" si="3"/>
        <v>111607.89000000001</v>
      </c>
      <c r="S15" s="232">
        <f>(4108+4435)/2</f>
        <v>4271.5</v>
      </c>
      <c r="T15" s="219">
        <f>(15798+24528)/2</f>
        <v>20163</v>
      </c>
      <c r="U15" s="220">
        <f>(5.24+5.58)/2</f>
        <v>5.41</v>
      </c>
      <c r="V15" s="220" t="s">
        <v>355</v>
      </c>
      <c r="W15" s="270" t="s">
        <v>333</v>
      </c>
      <c r="X15" s="329"/>
      <c r="Y15" s="330"/>
      <c r="Z15" s="330"/>
      <c r="AA15" s="330"/>
      <c r="AB15" s="331"/>
    </row>
    <row r="16" spans="1:28" ht="14.25" customHeight="1">
      <c r="A16" s="229">
        <v>4</v>
      </c>
      <c r="B16" s="233"/>
      <c r="C16" s="229">
        <v>1</v>
      </c>
      <c r="D16" s="231" t="s">
        <v>43</v>
      </c>
      <c r="E16" s="217" t="s">
        <v>81</v>
      </c>
      <c r="F16" s="214">
        <v>32277</v>
      </c>
      <c r="G16" s="229" t="s">
        <v>156</v>
      </c>
      <c r="H16" s="229"/>
      <c r="I16" s="229" t="s">
        <v>156</v>
      </c>
      <c r="J16" s="229" t="s">
        <v>156</v>
      </c>
      <c r="K16" s="229" t="s">
        <v>156</v>
      </c>
      <c r="L16" s="229"/>
      <c r="M16" s="229" t="s">
        <v>156</v>
      </c>
      <c r="N16" s="310">
        <f t="shared" si="2"/>
        <v>43262.340000000004</v>
      </c>
      <c r="O16" s="311">
        <v>155475</v>
      </c>
      <c r="P16" s="218">
        <f>SUM('Blue Cypress '!B9)</f>
        <v>46292</v>
      </c>
      <c r="Q16" s="218">
        <f>SUM(Carvill!B5)</f>
        <v>65549</v>
      </c>
      <c r="R16" s="218">
        <f t="shared" si="3"/>
        <v>111841</v>
      </c>
      <c r="S16" s="232">
        <f>(5395+7704)/2</f>
        <v>6549.5</v>
      </c>
      <c r="T16" s="219">
        <f>(12130+16451)/2</f>
        <v>14290.5</v>
      </c>
      <c r="U16" s="220">
        <f>(7.82+11.21)/2</f>
        <v>9.515</v>
      </c>
      <c r="V16" s="220" t="s">
        <v>356</v>
      </c>
      <c r="W16" s="270" t="s">
        <v>332</v>
      </c>
      <c r="X16" s="329"/>
      <c r="Y16" s="330"/>
      <c r="Z16" s="330"/>
      <c r="AA16" s="330"/>
      <c r="AB16" s="331"/>
    </row>
    <row r="17" spans="1:28" s="221" customFormat="1" ht="14.25" customHeight="1">
      <c r="A17" s="214">
        <v>10</v>
      </c>
      <c r="B17" s="222"/>
      <c r="C17" s="214">
        <v>8</v>
      </c>
      <c r="D17" s="231" t="s">
        <v>79</v>
      </c>
      <c r="E17" s="217" t="s">
        <v>92</v>
      </c>
      <c r="F17" s="214">
        <v>32209</v>
      </c>
      <c r="G17" s="214" t="s">
        <v>156</v>
      </c>
      <c r="H17" s="214"/>
      <c r="I17" s="214"/>
      <c r="J17" s="214" t="s">
        <v>156</v>
      </c>
      <c r="K17" s="214" t="s">
        <v>156</v>
      </c>
      <c r="L17" s="214"/>
      <c r="M17" s="214" t="s">
        <v>156</v>
      </c>
      <c r="N17" s="310">
        <f t="shared" si="2"/>
        <v>14191.372800000001</v>
      </c>
      <c r="O17" s="310">
        <v>92632</v>
      </c>
      <c r="P17" s="218">
        <f>SUM('CT Brown'!B9)</f>
        <v>46292</v>
      </c>
      <c r="Q17" s="218">
        <f>SUM('CT Brown'!B5)</f>
        <v>21502.08</v>
      </c>
      <c r="R17" s="218">
        <f t="shared" si="3"/>
        <v>67794.08</v>
      </c>
      <c r="S17" s="232">
        <f>(5572+5920)/2</f>
        <v>5746</v>
      </c>
      <c r="T17" s="219">
        <f>(16038+29534)/2</f>
        <v>22786</v>
      </c>
      <c r="U17" s="220">
        <f>(1.73+3.32)/2</f>
        <v>2.525</v>
      </c>
      <c r="V17" s="220" t="s">
        <v>357</v>
      </c>
      <c r="W17" s="266" t="s">
        <v>329</v>
      </c>
      <c r="X17" s="329"/>
      <c r="Y17" s="330"/>
      <c r="Z17" s="330"/>
      <c r="AA17" s="330"/>
      <c r="AB17" s="331"/>
    </row>
    <row r="18" spans="1:28" s="221" customFormat="1" ht="14.25" customHeight="1">
      <c r="A18" s="214">
        <v>17</v>
      </c>
      <c r="B18" s="222"/>
      <c r="C18" s="214">
        <v>9</v>
      </c>
      <c r="D18" s="231" t="s">
        <v>52</v>
      </c>
      <c r="E18" s="217" t="s">
        <v>112</v>
      </c>
      <c r="F18" s="214">
        <v>32209</v>
      </c>
      <c r="G18" s="214" t="s">
        <v>156</v>
      </c>
      <c r="H18" s="214"/>
      <c r="I18" s="214"/>
      <c r="J18" s="214" t="s">
        <v>156</v>
      </c>
      <c r="K18" s="214" t="s">
        <v>156</v>
      </c>
      <c r="L18" s="214"/>
      <c r="M18" s="214" t="s">
        <v>156</v>
      </c>
      <c r="N18" s="310">
        <f t="shared" si="2"/>
        <v>21037.104000000003</v>
      </c>
      <c r="O18" s="310">
        <v>98786</v>
      </c>
      <c r="P18" s="218">
        <f>SUM('Johnnie Walker '!B9)</f>
        <v>46292</v>
      </c>
      <c r="Q18" s="218">
        <f>SUM('Johnnie Walker '!B5)</f>
        <v>31874.4</v>
      </c>
      <c r="R18" s="218">
        <f t="shared" si="3"/>
        <v>78166.4</v>
      </c>
      <c r="S18" s="232">
        <f>(1983+2120)/2</f>
        <v>2051.5</v>
      </c>
      <c r="T18" s="219">
        <f>(1983+3816)/2</f>
        <v>2899.5</v>
      </c>
      <c r="U18" s="220">
        <f>(16.69+16.92)/2</f>
        <v>16.805</v>
      </c>
      <c r="V18" s="220" t="s">
        <v>357</v>
      </c>
      <c r="W18" s="266" t="s">
        <v>329</v>
      </c>
      <c r="X18" s="329"/>
      <c r="Y18" s="330"/>
      <c r="Z18" s="330"/>
      <c r="AA18" s="330"/>
      <c r="AB18" s="331"/>
    </row>
    <row r="19" spans="1:28" s="221" customFormat="1" ht="14.25" customHeight="1">
      <c r="A19" s="214">
        <v>23</v>
      </c>
      <c r="B19" s="222"/>
      <c r="C19" s="214">
        <v>11</v>
      </c>
      <c r="D19" s="231" t="s">
        <v>60</v>
      </c>
      <c r="E19" s="217" t="s">
        <v>89</v>
      </c>
      <c r="F19" s="214">
        <v>32218</v>
      </c>
      <c r="G19" s="214" t="s">
        <v>156</v>
      </c>
      <c r="H19" s="214"/>
      <c r="I19" s="214" t="s">
        <v>156</v>
      </c>
      <c r="J19" s="214" t="s">
        <v>156</v>
      </c>
      <c r="K19" s="214" t="s">
        <v>156</v>
      </c>
      <c r="L19" s="214"/>
      <c r="M19" s="214" t="s">
        <v>156</v>
      </c>
      <c r="N19" s="310">
        <f t="shared" si="2"/>
        <v>37000.3194</v>
      </c>
      <c r="O19" s="310">
        <v>149010</v>
      </c>
      <c r="P19" s="218">
        <f>SUM('Oceanway '!B9)</f>
        <v>46292</v>
      </c>
      <c r="Q19" s="218">
        <f>SUM('Oceanway '!B5)</f>
        <v>56061.09</v>
      </c>
      <c r="R19" s="218">
        <f t="shared" si="3"/>
        <v>102353.09</v>
      </c>
      <c r="S19" s="232">
        <f>(8082+9354)/2</f>
        <v>8718</v>
      </c>
      <c r="T19" s="219">
        <f>(8419+19467)/2</f>
        <v>13943</v>
      </c>
      <c r="U19" s="220">
        <f>(9.05+8.13)/2</f>
        <v>8.59</v>
      </c>
      <c r="V19" s="220" t="s">
        <v>358</v>
      </c>
      <c r="W19" s="266" t="s">
        <v>332</v>
      </c>
      <c r="X19" s="332"/>
      <c r="Y19" s="333"/>
      <c r="Z19" s="333"/>
      <c r="AA19" s="333"/>
      <c r="AB19" s="334"/>
    </row>
    <row r="20" spans="1:28" s="221" customFormat="1" ht="14.25" customHeight="1">
      <c r="A20" s="235"/>
      <c r="B20" s="226"/>
      <c r="C20" s="207"/>
      <c r="D20" s="209"/>
      <c r="E20" s="209"/>
      <c r="F20" s="207"/>
      <c r="G20" s="207"/>
      <c r="H20" s="207"/>
      <c r="I20" s="207"/>
      <c r="J20" s="287"/>
      <c r="K20" s="288"/>
      <c r="L20" s="288"/>
      <c r="M20" s="288"/>
      <c r="N20" s="288" t="s">
        <v>372</v>
      </c>
      <c r="O20" s="288"/>
      <c r="P20" s="289"/>
      <c r="Q20" s="289"/>
      <c r="R20" s="290">
        <f>SUM(R14:R19)</f>
        <v>614279.44</v>
      </c>
      <c r="S20" s="227"/>
      <c r="T20" s="228"/>
      <c r="U20" s="210"/>
      <c r="V20" s="210"/>
      <c r="W20" s="213"/>
      <c r="X20" s="278"/>
      <c r="Y20" s="279"/>
      <c r="Z20" s="279"/>
      <c r="AA20" s="280"/>
      <c r="AB20" s="277"/>
    </row>
    <row r="21" spans="1:28" s="221" customFormat="1" ht="14.25" customHeight="1">
      <c r="A21" s="212" t="s">
        <v>338</v>
      </c>
      <c r="B21" s="226"/>
      <c r="C21" s="207"/>
      <c r="D21" s="209"/>
      <c r="E21" s="209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10"/>
      <c r="Q21" s="210"/>
      <c r="R21" s="210"/>
      <c r="S21" s="227"/>
      <c r="T21" s="228"/>
      <c r="U21" s="210"/>
      <c r="V21" s="210"/>
      <c r="W21" s="213"/>
      <c r="X21" s="335" t="s">
        <v>344</v>
      </c>
      <c r="Y21" s="336"/>
      <c r="Z21" s="336"/>
      <c r="AA21" s="336"/>
      <c r="AB21" s="337"/>
    </row>
    <row r="22" spans="1:28" s="221" customFormat="1" ht="14.25" customHeight="1">
      <c r="A22" s="214">
        <v>12</v>
      </c>
      <c r="B22" s="222"/>
      <c r="C22" s="214">
        <v>11</v>
      </c>
      <c r="D22" s="236" t="s">
        <v>48</v>
      </c>
      <c r="E22" s="217" t="s">
        <v>167</v>
      </c>
      <c r="F22" s="214">
        <v>32219</v>
      </c>
      <c r="G22" s="214" t="s">
        <v>156</v>
      </c>
      <c r="H22" s="214"/>
      <c r="I22" s="214"/>
      <c r="J22" s="214" t="s">
        <v>156</v>
      </c>
      <c r="K22" s="214" t="s">
        <v>156</v>
      </c>
      <c r="L22" s="214"/>
      <c r="M22" s="214" t="s">
        <v>156</v>
      </c>
      <c r="N22" s="310">
        <f>SUM(Q22*0.66)</f>
        <v>20549.925</v>
      </c>
      <c r="O22" s="310">
        <v>102346</v>
      </c>
      <c r="P22" s="218">
        <f>SUM('Dinsmore  '!B9)</f>
        <v>46292</v>
      </c>
      <c r="Q22" s="218">
        <f>SUM('Dinsmore  '!B5)</f>
        <v>31136.25</v>
      </c>
      <c r="R22" s="218">
        <f>SUM(P22,Q22)</f>
        <v>77428.25</v>
      </c>
      <c r="S22" s="232">
        <f>(7628+7847)/2</f>
        <v>7737.5</v>
      </c>
      <c r="T22" s="219">
        <f>(7650+10544)/2</f>
        <v>9097</v>
      </c>
      <c r="U22" s="220">
        <f>(9.63+10.01)/2</f>
        <v>9.82</v>
      </c>
      <c r="V22" s="220" t="s">
        <v>359</v>
      </c>
      <c r="W22" s="266" t="s">
        <v>329</v>
      </c>
      <c r="X22" s="312"/>
      <c r="Y22" s="313"/>
      <c r="Z22" s="313"/>
      <c r="AA22" s="313"/>
      <c r="AB22" s="314"/>
    </row>
    <row r="23" spans="1:28" s="221" customFormat="1" ht="14.25" customHeight="1">
      <c r="A23" s="214">
        <v>15</v>
      </c>
      <c r="B23" s="222"/>
      <c r="C23" s="214">
        <v>10</v>
      </c>
      <c r="D23" s="236" t="s">
        <v>50</v>
      </c>
      <c r="E23" s="217" t="s">
        <v>107</v>
      </c>
      <c r="F23" s="214">
        <v>32208</v>
      </c>
      <c r="G23" s="214"/>
      <c r="H23" s="214"/>
      <c r="I23" s="214" t="s">
        <v>156</v>
      </c>
      <c r="J23" s="214" t="s">
        <v>156</v>
      </c>
      <c r="K23" s="214"/>
      <c r="L23" s="214"/>
      <c r="M23" s="214"/>
      <c r="N23" s="310">
        <f>SUM(Q23*0.66)</f>
        <v>12728.76</v>
      </c>
      <c r="O23" s="310">
        <v>75165</v>
      </c>
      <c r="P23" s="218">
        <f>SUM('Forestview '!C23)</f>
        <v>26390</v>
      </c>
      <c r="Q23" s="218">
        <f>SUM('Forestview '!U6)</f>
        <v>19286</v>
      </c>
      <c r="R23" s="218">
        <f>SUM(P23,Q23)</f>
        <v>45676</v>
      </c>
      <c r="S23" s="232">
        <f>(9946+14160)/2</f>
        <v>12053</v>
      </c>
      <c r="T23" s="219">
        <f>(9946+14160)/2</f>
        <v>12053</v>
      </c>
      <c r="U23" s="220">
        <f>(7.4+5.25)/2</f>
        <v>6.325</v>
      </c>
      <c r="V23" s="220" t="s">
        <v>360</v>
      </c>
      <c r="W23" s="266" t="s">
        <v>227</v>
      </c>
      <c r="X23" s="312"/>
      <c r="Y23" s="313"/>
      <c r="Z23" s="313"/>
      <c r="AA23" s="313"/>
      <c r="AB23" s="314"/>
    </row>
    <row r="24" spans="1:28" s="221" customFormat="1" ht="14.25" customHeight="1">
      <c r="A24" s="214">
        <v>16</v>
      </c>
      <c r="B24" s="222"/>
      <c r="C24" s="214">
        <v>9</v>
      </c>
      <c r="D24" s="236" t="s">
        <v>51</v>
      </c>
      <c r="E24" s="217" t="s">
        <v>87</v>
      </c>
      <c r="F24" s="214">
        <v>32207</v>
      </c>
      <c r="G24" s="214" t="s">
        <v>156</v>
      </c>
      <c r="H24" s="214"/>
      <c r="I24" s="214"/>
      <c r="J24" s="214" t="s">
        <v>156</v>
      </c>
      <c r="K24" s="214" t="s">
        <v>156</v>
      </c>
      <c r="L24" s="214"/>
      <c r="M24" s="214" t="s">
        <v>156</v>
      </c>
      <c r="N24" s="310">
        <f>SUM(Q24*0.66)</f>
        <v>26380.8072</v>
      </c>
      <c r="O24" s="310">
        <v>128885</v>
      </c>
      <c r="P24" s="218">
        <f>SUM('HT Jones '!B9)</f>
        <v>46292</v>
      </c>
      <c r="Q24" s="218">
        <f>SUM('HT Jones '!B5)</f>
        <v>39970.92</v>
      </c>
      <c r="R24" s="218">
        <f>SUM(P24,Q24)</f>
        <v>86262.92</v>
      </c>
      <c r="S24" s="232">
        <f>(14581+15758)/2</f>
        <v>15169.5</v>
      </c>
      <c r="T24" s="219">
        <f>(19271+21173)/2</f>
        <v>20222</v>
      </c>
      <c r="U24" s="220">
        <f>(4.48+4.25)/2</f>
        <v>4.365</v>
      </c>
      <c r="V24" s="220" t="s">
        <v>361</v>
      </c>
      <c r="W24" s="266" t="s">
        <v>329</v>
      </c>
      <c r="X24" s="312"/>
      <c r="Y24" s="313"/>
      <c r="Z24" s="313"/>
      <c r="AA24" s="313"/>
      <c r="AB24" s="314"/>
    </row>
    <row r="25" spans="1:28" s="221" customFormat="1" ht="14.25" customHeight="1">
      <c r="A25" s="214">
        <v>69</v>
      </c>
      <c r="B25" s="217"/>
      <c r="C25" s="214">
        <v>9</v>
      </c>
      <c r="D25" s="236" t="s">
        <v>137</v>
      </c>
      <c r="E25" s="217" t="s">
        <v>119</v>
      </c>
      <c r="F25" s="214">
        <v>32209</v>
      </c>
      <c r="G25" s="214" t="s">
        <v>156</v>
      </c>
      <c r="H25" s="214"/>
      <c r="I25" s="214"/>
      <c r="J25" s="214" t="s">
        <v>156</v>
      </c>
      <c r="K25" s="214" t="s">
        <v>156</v>
      </c>
      <c r="L25" s="214"/>
      <c r="M25" s="214" t="s">
        <v>156</v>
      </c>
      <c r="N25" s="310">
        <f>SUM(Q25*0.66)</f>
        <v>33949.561799999996</v>
      </c>
      <c r="O25" s="310">
        <v>115073</v>
      </c>
      <c r="P25" s="218">
        <f>SUM(Mitchell!B9)</f>
        <v>46292</v>
      </c>
      <c r="Q25" s="218">
        <f>SUM(Mitchell!B5)</f>
        <v>51438.729999999996</v>
      </c>
      <c r="R25" s="218">
        <f>SUM(P25,Q25)</f>
        <v>97730.73</v>
      </c>
      <c r="S25" s="232">
        <f>(4369+5292)/2</f>
        <v>4830.5</v>
      </c>
      <c r="T25" s="219">
        <f>(4369+5503)/2</f>
        <v>4936</v>
      </c>
      <c r="U25" s="220">
        <f>(20.87+17.28)/2</f>
        <v>19.075000000000003</v>
      </c>
      <c r="V25" s="220" t="s">
        <v>362</v>
      </c>
      <c r="W25" s="266" t="s">
        <v>329</v>
      </c>
      <c r="X25" s="315"/>
      <c r="Y25" s="316"/>
      <c r="Z25" s="316"/>
      <c r="AA25" s="316"/>
      <c r="AB25" s="317"/>
    </row>
    <row r="26" spans="1:28" s="221" customFormat="1" ht="14.25" customHeight="1">
      <c r="A26" s="207"/>
      <c r="B26" s="209"/>
      <c r="C26" s="207"/>
      <c r="D26" s="209"/>
      <c r="E26" s="209"/>
      <c r="F26" s="207"/>
      <c r="G26" s="207"/>
      <c r="H26" s="207"/>
      <c r="I26" s="207"/>
      <c r="J26" s="287"/>
      <c r="K26" s="288"/>
      <c r="L26" s="288"/>
      <c r="M26" s="288"/>
      <c r="N26" s="288" t="s">
        <v>372</v>
      </c>
      <c r="O26" s="288"/>
      <c r="P26" s="289"/>
      <c r="Q26" s="289"/>
      <c r="R26" s="290">
        <f>SUM(R22:R25)</f>
        <v>307097.89999999997</v>
      </c>
      <c r="S26" s="227"/>
      <c r="T26" s="228"/>
      <c r="U26" s="210"/>
      <c r="V26" s="210"/>
      <c r="W26" s="213"/>
      <c r="X26" s="278"/>
      <c r="Y26" s="279"/>
      <c r="Z26" s="279"/>
      <c r="AA26" s="280"/>
      <c r="AB26" s="277"/>
    </row>
    <row r="27" spans="1:28" s="221" customFormat="1" ht="14.25" customHeight="1">
      <c r="A27" s="212" t="s">
        <v>337</v>
      </c>
      <c r="B27" s="209"/>
      <c r="C27" s="207"/>
      <c r="D27" s="209"/>
      <c r="E27" s="209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10"/>
      <c r="Q27" s="210"/>
      <c r="R27" s="210"/>
      <c r="S27" s="227"/>
      <c r="T27" s="228"/>
      <c r="U27" s="210"/>
      <c r="V27" s="210"/>
      <c r="W27" s="213"/>
      <c r="X27" s="312" t="s">
        <v>345</v>
      </c>
      <c r="Y27" s="313"/>
      <c r="Z27" s="313"/>
      <c r="AA27" s="313"/>
      <c r="AB27" s="314"/>
    </row>
    <row r="28" spans="1:28" s="221" customFormat="1" ht="14.25" customHeight="1">
      <c r="A28" s="214">
        <v>6</v>
      </c>
      <c r="B28" s="233"/>
      <c r="C28" s="214">
        <v>8</v>
      </c>
      <c r="D28" s="237" t="s">
        <v>45</v>
      </c>
      <c r="E28" s="217" t="s">
        <v>83</v>
      </c>
      <c r="F28" s="214">
        <v>32208</v>
      </c>
      <c r="G28" s="214"/>
      <c r="H28" s="214"/>
      <c r="I28" s="214"/>
      <c r="J28" s="214"/>
      <c r="K28" s="214" t="s">
        <v>156</v>
      </c>
      <c r="L28" s="214"/>
      <c r="M28" s="214"/>
      <c r="N28" s="218">
        <v>66282</v>
      </c>
      <c r="O28" s="310">
        <v>122642</v>
      </c>
      <c r="P28" s="218">
        <v>0</v>
      </c>
      <c r="Q28" s="218">
        <f>SUM('Blue Cypress '!B5)</f>
        <v>66282</v>
      </c>
      <c r="R28" s="218">
        <f>SUM(P28,Q28)</f>
        <v>66282</v>
      </c>
      <c r="S28" s="232">
        <f>(2419+8356)/2</f>
        <v>5387.5</v>
      </c>
      <c r="T28" s="219">
        <f>(2613+13610)/2</f>
        <v>8111.5</v>
      </c>
      <c r="U28" s="220">
        <f>(20.55+10.89)/2</f>
        <v>15.72</v>
      </c>
      <c r="V28" s="220" t="s">
        <v>363</v>
      </c>
      <c r="W28" s="266"/>
      <c r="X28" s="312"/>
      <c r="Y28" s="313"/>
      <c r="Z28" s="313"/>
      <c r="AA28" s="313"/>
      <c r="AB28" s="314"/>
    </row>
    <row r="29" spans="1:28" s="221" customFormat="1" ht="14.25" customHeight="1">
      <c r="A29" s="214">
        <v>13</v>
      </c>
      <c r="B29" s="222"/>
      <c r="C29" s="214">
        <v>9</v>
      </c>
      <c r="D29" s="237" t="s">
        <v>49</v>
      </c>
      <c r="E29" s="217" t="s">
        <v>110</v>
      </c>
      <c r="F29" s="214">
        <v>32205</v>
      </c>
      <c r="G29" s="214" t="s">
        <v>156</v>
      </c>
      <c r="H29" s="214"/>
      <c r="I29" s="214"/>
      <c r="J29" s="214"/>
      <c r="K29" s="214" t="s">
        <v>156</v>
      </c>
      <c r="L29" s="214"/>
      <c r="M29" s="214"/>
      <c r="N29" s="218">
        <v>62347</v>
      </c>
      <c r="O29" s="310">
        <v>149847</v>
      </c>
      <c r="P29" s="218">
        <v>0</v>
      </c>
      <c r="Q29" s="218">
        <f>SUM('E. B. Ford'!B5)</f>
        <v>62347</v>
      </c>
      <c r="R29" s="218">
        <f>SUM(P29,Q29)</f>
        <v>62347</v>
      </c>
      <c r="S29" s="232">
        <f>(1606+3447)/2</f>
        <v>2526.5</v>
      </c>
      <c r="T29" s="219">
        <f>(1606+10080)/2</f>
        <v>5843</v>
      </c>
      <c r="U29" s="220">
        <f>(19.04+15.78)/2</f>
        <v>17.41</v>
      </c>
      <c r="V29" s="220" t="s">
        <v>364</v>
      </c>
      <c r="W29" s="266"/>
      <c r="X29" s="312"/>
      <c r="Y29" s="313"/>
      <c r="Z29" s="313"/>
      <c r="AA29" s="313"/>
      <c r="AB29" s="314"/>
    </row>
    <row r="30" spans="1:28" s="221" customFormat="1" ht="14.25" customHeight="1">
      <c r="A30" s="214">
        <v>19</v>
      </c>
      <c r="B30" s="222"/>
      <c r="C30" s="214">
        <v>12</v>
      </c>
      <c r="D30" s="237" t="s">
        <v>54</v>
      </c>
      <c r="E30" s="217" t="s">
        <v>125</v>
      </c>
      <c r="F30" s="214">
        <v>32221</v>
      </c>
      <c r="G30" s="214" t="s">
        <v>156</v>
      </c>
      <c r="H30" s="214"/>
      <c r="I30" s="214"/>
      <c r="J30" s="214"/>
      <c r="K30" s="214" t="s">
        <v>156</v>
      </c>
      <c r="L30" s="214"/>
      <c r="M30" s="214"/>
      <c r="N30" s="218">
        <v>26856</v>
      </c>
      <c r="O30" s="310">
        <v>112839</v>
      </c>
      <c r="P30" s="218">
        <v>0</v>
      </c>
      <c r="Q30" s="218">
        <f>SUM('Julian Barrs '!B5)</f>
        <v>26856</v>
      </c>
      <c r="R30" s="218">
        <f>SUM(P30,Q30)</f>
        <v>26856</v>
      </c>
      <c r="S30" s="232">
        <f>(4225+6703)/2</f>
        <v>5464</v>
      </c>
      <c r="T30" s="219">
        <f>(4352+15895)/2</f>
        <v>10123.5</v>
      </c>
      <c r="U30" s="220">
        <f>(26.39+7.77)/2</f>
        <v>17.08</v>
      </c>
      <c r="V30" s="220" t="s">
        <v>365</v>
      </c>
      <c r="W30" s="266"/>
      <c r="X30" s="312"/>
      <c r="Y30" s="313"/>
      <c r="Z30" s="313"/>
      <c r="AA30" s="313"/>
      <c r="AB30" s="314"/>
    </row>
    <row r="31" spans="1:28" s="221" customFormat="1" ht="14.25" customHeight="1">
      <c r="A31" s="214">
        <v>21</v>
      </c>
      <c r="B31" s="222"/>
      <c r="C31" s="214">
        <v>12</v>
      </c>
      <c r="D31" s="237" t="s">
        <v>56</v>
      </c>
      <c r="E31" s="217" t="s">
        <v>114</v>
      </c>
      <c r="F31" s="214">
        <v>32244</v>
      </c>
      <c r="G31" s="214" t="s">
        <v>156</v>
      </c>
      <c r="H31" s="214"/>
      <c r="I31" s="214"/>
      <c r="J31" s="214"/>
      <c r="K31" s="214" t="s">
        <v>156</v>
      </c>
      <c r="L31" s="214"/>
      <c r="M31" s="214"/>
      <c r="N31" s="218">
        <v>26856</v>
      </c>
      <c r="O31" s="310">
        <v>82896</v>
      </c>
      <c r="P31" s="218">
        <v>0</v>
      </c>
      <c r="Q31" s="218">
        <f>SUM(McGirts!B5)</f>
        <v>26856</v>
      </c>
      <c r="R31" s="218">
        <f>SUM(P31,Q31)</f>
        <v>26856</v>
      </c>
      <c r="S31" s="232">
        <f>(3240+8179)/2</f>
        <v>5709.5</v>
      </c>
      <c r="T31" s="219">
        <f>(3240+11149)/2</f>
        <v>7194.5</v>
      </c>
      <c r="U31" s="220">
        <f>(16.56+20.57)/2</f>
        <v>18.564999999999998</v>
      </c>
      <c r="V31" s="220" t="s">
        <v>366</v>
      </c>
      <c r="W31" s="266"/>
      <c r="X31" s="312"/>
      <c r="Y31" s="313"/>
      <c r="Z31" s="313"/>
      <c r="AA31" s="313"/>
      <c r="AB31" s="314"/>
    </row>
    <row r="32" spans="1:28" s="221" customFormat="1" ht="14.25" customHeight="1">
      <c r="A32" s="214">
        <v>25</v>
      </c>
      <c r="B32" s="222"/>
      <c r="C32" s="214">
        <v>4</v>
      </c>
      <c r="D32" s="237" t="s">
        <v>58</v>
      </c>
      <c r="E32" s="238" t="s">
        <v>90</v>
      </c>
      <c r="F32" s="214">
        <v>32246</v>
      </c>
      <c r="G32" s="214" t="s">
        <v>156</v>
      </c>
      <c r="H32" s="214"/>
      <c r="I32" s="214"/>
      <c r="J32" s="214"/>
      <c r="K32" s="214" t="s">
        <v>156</v>
      </c>
      <c r="L32" s="214"/>
      <c r="M32" s="214"/>
      <c r="N32" s="218">
        <v>52579</v>
      </c>
      <c r="O32" s="310">
        <v>119179</v>
      </c>
      <c r="P32" s="218">
        <v>0</v>
      </c>
      <c r="Q32" s="218">
        <f>SUM('Windy Hill'!B5)</f>
        <v>52579</v>
      </c>
      <c r="R32" s="218">
        <f>SUM(P32,Q32)</f>
        <v>52579</v>
      </c>
      <c r="S32" s="232">
        <f>AVERAGE(5683+2983)</f>
        <v>8666</v>
      </c>
      <c r="T32" s="219">
        <f>(6050+4015)/2</f>
        <v>5032.5</v>
      </c>
      <c r="U32" s="220">
        <f>(16.64+28.93)/2</f>
        <v>22.785</v>
      </c>
      <c r="V32" s="220" t="s">
        <v>367</v>
      </c>
      <c r="W32" s="266"/>
      <c r="X32" s="315"/>
      <c r="Y32" s="316"/>
      <c r="Z32" s="316"/>
      <c r="AA32" s="316"/>
      <c r="AB32" s="317"/>
    </row>
    <row r="33" spans="10:28" ht="12.75">
      <c r="J33" s="267"/>
      <c r="K33" s="268"/>
      <c r="L33" s="268"/>
      <c r="M33" s="268"/>
      <c r="N33" s="288" t="s">
        <v>372</v>
      </c>
      <c r="O33" s="268"/>
      <c r="P33" s="291"/>
      <c r="Q33" s="291"/>
      <c r="R33" s="290">
        <f>SUM(R28:R32)</f>
        <v>234920</v>
      </c>
      <c r="U33" s="286"/>
      <c r="X33" s="281"/>
      <c r="Y33" s="282"/>
      <c r="Z33" s="282"/>
      <c r="AA33" s="282"/>
      <c r="AB33" s="283"/>
    </row>
    <row r="34" spans="1:23" ht="14.25" customHeight="1">
      <c r="A34" s="208" t="s">
        <v>346</v>
      </c>
      <c r="B34" s="209"/>
      <c r="C34" s="208"/>
      <c r="D34" s="208"/>
      <c r="E34" s="209"/>
      <c r="F34" s="207"/>
      <c r="G34" s="206"/>
      <c r="H34" s="206"/>
      <c r="I34" s="206"/>
      <c r="J34" s="206"/>
      <c r="K34" s="206"/>
      <c r="L34" s="206"/>
      <c r="M34" s="206"/>
      <c r="N34" s="206"/>
      <c r="O34" s="206"/>
      <c r="P34" s="210"/>
      <c r="Q34" s="210"/>
      <c r="R34" s="210"/>
      <c r="S34" s="210"/>
      <c r="T34" s="210"/>
      <c r="U34" s="210"/>
      <c r="V34" s="210"/>
      <c r="W34" s="213"/>
    </row>
    <row r="35" spans="1:23" ht="14.25" customHeight="1">
      <c r="A35" s="229">
        <v>67</v>
      </c>
      <c r="B35" s="217"/>
      <c r="C35" s="214">
        <v>12</v>
      </c>
      <c r="D35" s="239" t="s">
        <v>135</v>
      </c>
      <c r="E35" s="217" t="s">
        <v>138</v>
      </c>
      <c r="F35" s="214">
        <v>32220</v>
      </c>
      <c r="G35" s="214"/>
      <c r="H35" s="214"/>
      <c r="I35" s="214" t="s">
        <v>156</v>
      </c>
      <c r="J35" s="214"/>
      <c r="K35" s="214"/>
      <c r="L35" s="214"/>
      <c r="M35" s="214"/>
      <c r="N35" s="214"/>
      <c r="O35" s="214"/>
      <c r="P35" s="218"/>
      <c r="Q35" s="218"/>
      <c r="R35" s="218"/>
      <c r="S35" s="218"/>
      <c r="T35" s="218"/>
      <c r="U35" s="218"/>
      <c r="V35" s="218"/>
      <c r="W35" s="240" t="s">
        <v>304</v>
      </c>
    </row>
    <row r="36" spans="1:23" s="241" customFormat="1" ht="14.25" customHeight="1">
      <c r="A36" s="229">
        <v>68</v>
      </c>
      <c r="B36" s="217"/>
      <c r="C36" s="214">
        <v>3</v>
      </c>
      <c r="D36" s="239" t="s">
        <v>134</v>
      </c>
      <c r="E36" s="217" t="s">
        <v>140</v>
      </c>
      <c r="F36" s="214">
        <v>32224</v>
      </c>
      <c r="G36" s="214"/>
      <c r="H36" s="214"/>
      <c r="I36" s="214" t="s">
        <v>156</v>
      </c>
      <c r="J36" s="214"/>
      <c r="K36" s="214"/>
      <c r="L36" s="214"/>
      <c r="M36" s="214"/>
      <c r="N36" s="214"/>
      <c r="O36" s="214"/>
      <c r="P36" s="218"/>
      <c r="Q36" s="218"/>
      <c r="R36" s="218"/>
      <c r="S36" s="218"/>
      <c r="T36" s="218"/>
      <c r="U36" s="218"/>
      <c r="V36" s="218"/>
      <c r="W36" s="240" t="s">
        <v>304</v>
      </c>
    </row>
    <row r="37" spans="1:23" s="241" customFormat="1" ht="14.25" customHeight="1">
      <c r="A37" s="229">
        <v>70</v>
      </c>
      <c r="B37" s="217"/>
      <c r="C37" s="214">
        <v>14</v>
      </c>
      <c r="D37" s="239" t="s">
        <v>136</v>
      </c>
      <c r="E37" s="217" t="s">
        <v>139</v>
      </c>
      <c r="F37" s="214">
        <v>32244</v>
      </c>
      <c r="G37" s="214"/>
      <c r="H37" s="214"/>
      <c r="I37" s="214" t="s">
        <v>156</v>
      </c>
      <c r="J37" s="214"/>
      <c r="K37" s="214"/>
      <c r="L37" s="214"/>
      <c r="M37" s="214"/>
      <c r="N37" s="214"/>
      <c r="O37" s="214"/>
      <c r="P37" s="218"/>
      <c r="Q37" s="218"/>
      <c r="R37" s="218"/>
      <c r="S37" s="218"/>
      <c r="T37" s="218"/>
      <c r="U37" s="218"/>
      <c r="V37" s="218"/>
      <c r="W37" s="240" t="s">
        <v>305</v>
      </c>
    </row>
    <row r="38" spans="1:23" s="241" customFormat="1" ht="14.25" customHeight="1">
      <c r="A38" s="229">
        <v>71</v>
      </c>
      <c r="B38" s="217"/>
      <c r="C38" s="214">
        <v>11</v>
      </c>
      <c r="D38" s="239" t="s">
        <v>302</v>
      </c>
      <c r="E38" s="217" t="s">
        <v>303</v>
      </c>
      <c r="F38" s="214">
        <v>32226</v>
      </c>
      <c r="G38" s="214"/>
      <c r="H38" s="214"/>
      <c r="I38" s="214" t="s">
        <v>156</v>
      </c>
      <c r="J38" s="214"/>
      <c r="K38" s="214"/>
      <c r="L38" s="214"/>
      <c r="M38" s="214"/>
      <c r="N38" s="214"/>
      <c r="O38" s="214"/>
      <c r="P38" s="218"/>
      <c r="Q38" s="218"/>
      <c r="R38" s="218"/>
      <c r="S38" s="218"/>
      <c r="T38" s="218"/>
      <c r="U38" s="218"/>
      <c r="V38" s="218"/>
      <c r="W38" s="240" t="s">
        <v>306</v>
      </c>
    </row>
    <row r="39" spans="1:23" ht="14.25" customHeight="1">
      <c r="A39" s="206" t="s">
        <v>168</v>
      </c>
      <c r="B39" s="209" t="s">
        <v>230</v>
      </c>
      <c r="C39" s="207"/>
      <c r="D39" s="208"/>
      <c r="E39" s="209"/>
      <c r="F39" s="207"/>
      <c r="G39" s="206"/>
      <c r="H39" s="206"/>
      <c r="I39" s="206"/>
      <c r="J39" s="206"/>
      <c r="K39" s="206"/>
      <c r="L39" s="206"/>
      <c r="M39" s="206"/>
      <c r="N39" s="206"/>
      <c r="O39" s="206"/>
      <c r="P39" s="210"/>
      <c r="Q39" s="210"/>
      <c r="R39" s="210"/>
      <c r="S39" s="210"/>
      <c r="T39" s="210"/>
      <c r="U39" s="210"/>
      <c r="V39" s="210"/>
      <c r="W39" s="211"/>
    </row>
    <row r="40" spans="1:23" ht="14.25" customHeight="1">
      <c r="A40" s="206" t="s">
        <v>231</v>
      </c>
      <c r="B40" s="318" t="s">
        <v>232</v>
      </c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284"/>
      <c r="O40" s="284"/>
      <c r="P40" s="210"/>
      <c r="Q40" s="210"/>
      <c r="R40" s="210"/>
      <c r="S40" s="210"/>
      <c r="T40" s="210"/>
      <c r="U40" s="210"/>
      <c r="V40" s="210"/>
      <c r="W40" s="211"/>
    </row>
    <row r="41" spans="1:23" s="241" customFormat="1" ht="12" customHeight="1">
      <c r="A41" s="206" t="s">
        <v>233</v>
      </c>
      <c r="B41" s="318" t="s">
        <v>234</v>
      </c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284"/>
      <c r="O41" s="284"/>
      <c r="P41" s="210"/>
      <c r="Q41" s="210"/>
      <c r="R41" s="210"/>
      <c r="S41" s="210"/>
      <c r="T41" s="210"/>
      <c r="U41" s="210"/>
      <c r="V41" s="210"/>
      <c r="W41" s="242"/>
    </row>
    <row r="42" spans="1:23" s="241" customFormat="1" ht="14.25" customHeight="1">
      <c r="A42" s="243" t="s">
        <v>130</v>
      </c>
      <c r="B42" s="244"/>
      <c r="C42" s="244"/>
      <c r="D42" s="244"/>
      <c r="E42" s="244"/>
      <c r="F42" s="244"/>
      <c r="G42" s="206"/>
      <c r="H42" s="206"/>
      <c r="I42" s="206"/>
      <c r="J42" s="206"/>
      <c r="K42" s="206"/>
      <c r="L42" s="206"/>
      <c r="M42" s="206"/>
      <c r="N42" s="206"/>
      <c r="O42" s="206"/>
      <c r="P42" s="210"/>
      <c r="Q42" s="210"/>
      <c r="R42" s="210"/>
      <c r="S42" s="210"/>
      <c r="T42" s="210"/>
      <c r="U42" s="210"/>
      <c r="V42" s="210"/>
      <c r="W42" s="242"/>
    </row>
    <row r="43" spans="1:23" ht="14.25" customHeight="1">
      <c r="A43" s="229">
        <v>18</v>
      </c>
      <c r="B43" s="245"/>
      <c r="C43" s="229">
        <v>7</v>
      </c>
      <c r="D43" s="239" t="s">
        <v>53</v>
      </c>
      <c r="E43" s="217" t="s">
        <v>113</v>
      </c>
      <c r="F43" s="214">
        <v>32208</v>
      </c>
      <c r="G43" s="229"/>
      <c r="H43" s="229"/>
      <c r="I43" s="229"/>
      <c r="J43" s="229"/>
      <c r="K43" s="229"/>
      <c r="L43" s="229"/>
      <c r="M43" s="229"/>
      <c r="N43" s="229"/>
      <c r="O43" s="229"/>
      <c r="P43" s="218"/>
      <c r="Q43" s="218"/>
      <c r="R43" s="218"/>
      <c r="S43" s="218"/>
      <c r="T43" s="218"/>
      <c r="U43" s="218"/>
      <c r="V43" s="218"/>
      <c r="W43" s="246"/>
    </row>
    <row r="44" spans="1:23" ht="14.25" customHeight="1">
      <c r="A44" s="229">
        <v>22</v>
      </c>
      <c r="B44" s="245"/>
      <c r="C44" s="229">
        <v>14</v>
      </c>
      <c r="D44" s="239" t="s">
        <v>57</v>
      </c>
      <c r="E44" s="217" t="s">
        <v>115</v>
      </c>
      <c r="F44" s="214">
        <v>32205</v>
      </c>
      <c r="G44" s="229"/>
      <c r="H44" s="229"/>
      <c r="I44" s="229"/>
      <c r="J44" s="229"/>
      <c r="K44" s="229"/>
      <c r="L44" s="229"/>
      <c r="M44" s="229"/>
      <c r="N44" s="229"/>
      <c r="O44" s="229"/>
      <c r="P44" s="218"/>
      <c r="Q44" s="218"/>
      <c r="R44" s="218"/>
      <c r="S44" s="218"/>
      <c r="T44" s="218"/>
      <c r="U44" s="218"/>
      <c r="V44" s="218"/>
      <c r="W44" s="246"/>
    </row>
    <row r="45" spans="1:23" ht="14.25" customHeight="1">
      <c r="A45" s="247">
        <v>26</v>
      </c>
      <c r="B45" s="245"/>
      <c r="C45" s="247">
        <v>2</v>
      </c>
      <c r="D45" s="248" t="s">
        <v>133</v>
      </c>
      <c r="E45" s="249" t="s">
        <v>86</v>
      </c>
      <c r="F45" s="250">
        <v>32225</v>
      </c>
      <c r="G45" s="229"/>
      <c r="H45" s="229"/>
      <c r="I45" s="229"/>
      <c r="J45" s="229"/>
      <c r="K45" s="229"/>
      <c r="L45" s="229"/>
      <c r="M45" s="229"/>
      <c r="N45" s="229"/>
      <c r="O45" s="229"/>
      <c r="P45" s="218"/>
      <c r="Q45" s="218"/>
      <c r="R45" s="218"/>
      <c r="S45" s="218"/>
      <c r="T45" s="218"/>
      <c r="U45" s="218"/>
      <c r="V45" s="218"/>
      <c r="W45" s="246"/>
    </row>
    <row r="46" spans="1:23" ht="14.25" customHeight="1">
      <c r="A46" s="229">
        <v>27</v>
      </c>
      <c r="B46" s="200"/>
      <c r="C46" s="229">
        <v>7</v>
      </c>
      <c r="D46" s="239" t="s">
        <v>61</v>
      </c>
      <c r="E46" s="217" t="s">
        <v>117</v>
      </c>
      <c r="F46" s="214">
        <v>32206</v>
      </c>
      <c r="G46" s="229"/>
      <c r="H46" s="229"/>
      <c r="I46" s="229"/>
      <c r="J46" s="229"/>
      <c r="K46" s="229"/>
      <c r="L46" s="229"/>
      <c r="M46" s="229"/>
      <c r="N46" s="229"/>
      <c r="O46" s="229"/>
      <c r="P46" s="218"/>
      <c r="Q46" s="218"/>
      <c r="R46" s="218"/>
      <c r="S46" s="218"/>
      <c r="T46" s="218"/>
      <c r="U46" s="218"/>
      <c r="V46" s="218"/>
      <c r="W46" s="246"/>
    </row>
    <row r="47" spans="1:23" ht="14.25" customHeight="1">
      <c r="A47" s="229">
        <v>28</v>
      </c>
      <c r="B47" s="200"/>
      <c r="C47" s="229">
        <v>7</v>
      </c>
      <c r="D47" s="239" t="s">
        <v>62</v>
      </c>
      <c r="E47" s="217" t="s">
        <v>118</v>
      </c>
      <c r="F47" s="214">
        <v>32206</v>
      </c>
      <c r="G47" s="229"/>
      <c r="H47" s="229"/>
      <c r="I47" s="229"/>
      <c r="J47" s="229"/>
      <c r="K47" s="229"/>
      <c r="L47" s="229"/>
      <c r="M47" s="229"/>
      <c r="N47" s="229"/>
      <c r="O47" s="229"/>
      <c r="P47" s="218"/>
      <c r="Q47" s="218"/>
      <c r="R47" s="218"/>
      <c r="S47" s="218"/>
      <c r="T47" s="218"/>
      <c r="U47" s="218"/>
      <c r="V47" s="218"/>
      <c r="W47" s="246"/>
    </row>
    <row r="48" spans="1:23" ht="14.25" customHeight="1">
      <c r="A48" s="229">
        <v>29</v>
      </c>
      <c r="B48" s="200"/>
      <c r="C48" s="229">
        <v>9</v>
      </c>
      <c r="D48" s="239" t="s">
        <v>128</v>
      </c>
      <c r="E48" s="217" t="s">
        <v>93</v>
      </c>
      <c r="F48" s="214">
        <v>32254</v>
      </c>
      <c r="G48" s="229"/>
      <c r="H48" s="229"/>
      <c r="I48" s="229"/>
      <c r="J48" s="229"/>
      <c r="K48" s="229"/>
      <c r="L48" s="229"/>
      <c r="M48" s="229"/>
      <c r="N48" s="229"/>
      <c r="O48" s="229"/>
      <c r="P48" s="218"/>
      <c r="Q48" s="218"/>
      <c r="R48" s="218"/>
      <c r="S48" s="218"/>
      <c r="T48" s="218"/>
      <c r="U48" s="218"/>
      <c r="V48" s="218"/>
      <c r="W48" s="246"/>
    </row>
    <row r="49" spans="1:23" ht="14.25" customHeight="1">
      <c r="A49" s="229">
        <v>31</v>
      </c>
      <c r="B49" s="200"/>
      <c r="C49" s="229">
        <v>8</v>
      </c>
      <c r="D49" s="239" t="s">
        <v>63</v>
      </c>
      <c r="E49" s="217" t="s">
        <v>94</v>
      </c>
      <c r="F49" s="214">
        <v>32209</v>
      </c>
      <c r="G49" s="229"/>
      <c r="H49" s="229"/>
      <c r="I49" s="229"/>
      <c r="J49" s="229"/>
      <c r="K49" s="229"/>
      <c r="L49" s="229"/>
      <c r="M49" s="229"/>
      <c r="N49" s="229"/>
      <c r="O49" s="229"/>
      <c r="P49" s="218"/>
      <c r="Q49" s="218"/>
      <c r="R49" s="218"/>
      <c r="S49" s="218"/>
      <c r="T49" s="218"/>
      <c r="U49" s="218"/>
      <c r="V49" s="218"/>
      <c r="W49" s="246"/>
    </row>
    <row r="50" spans="1:23" ht="14.25" customHeight="1">
      <c r="A50" s="229">
        <v>32</v>
      </c>
      <c r="B50" s="200"/>
      <c r="C50" s="229">
        <v>9</v>
      </c>
      <c r="D50" s="239" t="s">
        <v>64</v>
      </c>
      <c r="E50" s="217" t="s">
        <v>105</v>
      </c>
      <c r="F50" s="214">
        <v>32209</v>
      </c>
      <c r="G50" s="229"/>
      <c r="H50" s="229"/>
      <c r="I50" s="229"/>
      <c r="J50" s="229"/>
      <c r="K50" s="229"/>
      <c r="L50" s="229"/>
      <c r="M50" s="229"/>
      <c r="N50" s="229"/>
      <c r="O50" s="229"/>
      <c r="P50" s="218"/>
      <c r="Q50" s="218"/>
      <c r="R50" s="218"/>
      <c r="S50" s="218"/>
      <c r="T50" s="218"/>
      <c r="U50" s="218"/>
      <c r="V50" s="218"/>
      <c r="W50" s="246"/>
    </row>
    <row r="51" spans="1:23" ht="14.25" customHeight="1">
      <c r="A51" s="229">
        <v>33</v>
      </c>
      <c r="B51" s="200"/>
      <c r="C51" s="229">
        <v>3</v>
      </c>
      <c r="D51" s="239" t="s">
        <v>65</v>
      </c>
      <c r="E51" s="217" t="s">
        <v>108</v>
      </c>
      <c r="F51" s="214">
        <v>32216</v>
      </c>
      <c r="G51" s="229"/>
      <c r="H51" s="229"/>
      <c r="I51" s="229"/>
      <c r="J51" s="229"/>
      <c r="K51" s="229"/>
      <c r="L51" s="229"/>
      <c r="M51" s="229"/>
      <c r="N51" s="229"/>
      <c r="O51" s="229"/>
      <c r="P51" s="218"/>
      <c r="Q51" s="218"/>
      <c r="R51" s="218"/>
      <c r="S51" s="218"/>
      <c r="T51" s="218"/>
      <c r="U51" s="218"/>
      <c r="V51" s="218"/>
      <c r="W51" s="246"/>
    </row>
    <row r="52" spans="1:23" ht="14.25" customHeight="1">
      <c r="A52" s="229">
        <v>39</v>
      </c>
      <c r="B52" s="200"/>
      <c r="C52" s="229">
        <v>9</v>
      </c>
      <c r="D52" s="239" t="s">
        <v>70</v>
      </c>
      <c r="E52" s="217" t="s">
        <v>99</v>
      </c>
      <c r="F52" s="214">
        <v>32207</v>
      </c>
      <c r="G52" s="229"/>
      <c r="H52" s="229"/>
      <c r="I52" s="229"/>
      <c r="J52" s="229"/>
      <c r="K52" s="229"/>
      <c r="L52" s="229"/>
      <c r="M52" s="229"/>
      <c r="N52" s="229"/>
      <c r="O52" s="229"/>
      <c r="P52" s="218"/>
      <c r="Q52" s="218"/>
      <c r="R52" s="218"/>
      <c r="S52" s="218"/>
      <c r="T52" s="218"/>
      <c r="U52" s="218"/>
      <c r="V52" s="218"/>
      <c r="W52" s="246"/>
    </row>
    <row r="53" spans="1:23" ht="14.25" customHeight="1">
      <c r="A53" s="229">
        <v>40</v>
      </c>
      <c r="B53" s="200"/>
      <c r="C53" s="229">
        <v>12</v>
      </c>
      <c r="D53" s="239" t="s">
        <v>71</v>
      </c>
      <c r="E53" s="217" t="s">
        <v>100</v>
      </c>
      <c r="F53" s="214">
        <v>32221</v>
      </c>
      <c r="G53" s="229"/>
      <c r="H53" s="229"/>
      <c r="I53" s="229"/>
      <c r="J53" s="229"/>
      <c r="K53" s="229"/>
      <c r="L53" s="229"/>
      <c r="M53" s="229"/>
      <c r="N53" s="229"/>
      <c r="O53" s="229"/>
      <c r="P53" s="218"/>
      <c r="Q53" s="218"/>
      <c r="R53" s="218"/>
      <c r="S53" s="218"/>
      <c r="T53" s="218"/>
      <c r="U53" s="218"/>
      <c r="V53" s="218"/>
      <c r="W53" s="246"/>
    </row>
    <row r="54" spans="1:23" ht="14.25" customHeight="1">
      <c r="A54" s="229">
        <v>41</v>
      </c>
      <c r="B54" s="200"/>
      <c r="C54" s="229">
        <v>1</v>
      </c>
      <c r="D54" s="239" t="s">
        <v>72</v>
      </c>
      <c r="E54" s="217" t="s">
        <v>101</v>
      </c>
      <c r="F54" s="214">
        <v>32225</v>
      </c>
      <c r="G54" s="229"/>
      <c r="H54" s="229"/>
      <c r="I54" s="229"/>
      <c r="J54" s="229"/>
      <c r="K54" s="229"/>
      <c r="L54" s="229"/>
      <c r="M54" s="229"/>
      <c r="N54" s="229"/>
      <c r="O54" s="229"/>
      <c r="P54" s="218"/>
      <c r="Q54" s="218"/>
      <c r="R54" s="218"/>
      <c r="S54" s="218"/>
      <c r="T54" s="218"/>
      <c r="U54" s="218"/>
      <c r="V54" s="218"/>
      <c r="W54" s="246"/>
    </row>
    <row r="55" spans="1:23" ht="14.25" customHeight="1">
      <c r="A55" s="229">
        <v>42</v>
      </c>
      <c r="B55" s="200"/>
      <c r="C55" s="229">
        <v>9</v>
      </c>
      <c r="D55" s="239" t="s">
        <v>73</v>
      </c>
      <c r="E55" s="217" t="s">
        <v>121</v>
      </c>
      <c r="F55" s="214">
        <v>32209</v>
      </c>
      <c r="G55" s="229"/>
      <c r="H55" s="229"/>
      <c r="I55" s="229"/>
      <c r="J55" s="229"/>
      <c r="K55" s="229"/>
      <c r="L55" s="229"/>
      <c r="M55" s="229"/>
      <c r="N55" s="229"/>
      <c r="O55" s="229"/>
      <c r="P55" s="218"/>
      <c r="Q55" s="218"/>
      <c r="R55" s="218"/>
      <c r="S55" s="218"/>
      <c r="T55" s="218"/>
      <c r="U55" s="218"/>
      <c r="V55" s="218"/>
      <c r="W55" s="246"/>
    </row>
    <row r="56" spans="1:23" ht="14.25" customHeight="1">
      <c r="A56" s="229">
        <v>46</v>
      </c>
      <c r="B56" s="200"/>
      <c r="C56" s="229">
        <v>7</v>
      </c>
      <c r="D56" s="239" t="s">
        <v>77</v>
      </c>
      <c r="E56" s="217" t="s">
        <v>103</v>
      </c>
      <c r="F56" s="214">
        <v>32209</v>
      </c>
      <c r="G56" s="229"/>
      <c r="H56" s="229"/>
      <c r="I56" s="229"/>
      <c r="J56" s="229"/>
      <c r="K56" s="229"/>
      <c r="L56" s="229"/>
      <c r="M56" s="229"/>
      <c r="N56" s="229"/>
      <c r="O56" s="229"/>
      <c r="P56" s="218"/>
      <c r="Q56" s="218"/>
      <c r="R56" s="218"/>
      <c r="S56" s="218"/>
      <c r="T56" s="218"/>
      <c r="U56" s="218"/>
      <c r="V56" s="218"/>
      <c r="W56" s="246"/>
    </row>
    <row r="57" spans="1:23" ht="12" customHeight="1">
      <c r="A57" s="206"/>
      <c r="B57" s="207"/>
      <c r="C57" s="208"/>
      <c r="D57" s="209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10"/>
      <c r="Q57" s="210"/>
      <c r="R57" s="210"/>
      <c r="S57" s="210"/>
      <c r="T57" s="210"/>
      <c r="U57" s="210"/>
      <c r="V57" s="210"/>
      <c r="W57" s="242"/>
    </row>
    <row r="58" spans="1:23" ht="14.25" customHeight="1">
      <c r="A58" s="243" t="s">
        <v>336</v>
      </c>
      <c r="B58" s="244"/>
      <c r="C58" s="244"/>
      <c r="D58" s="244"/>
      <c r="E58" s="244"/>
      <c r="F58" s="244"/>
      <c r="G58" s="206"/>
      <c r="H58" s="206"/>
      <c r="I58" s="206"/>
      <c r="J58" s="206"/>
      <c r="K58" s="206"/>
      <c r="L58" s="206"/>
      <c r="M58" s="206"/>
      <c r="N58" s="206"/>
      <c r="O58" s="206"/>
      <c r="P58" s="210"/>
      <c r="Q58" s="210"/>
      <c r="R58" s="210"/>
      <c r="S58" s="210"/>
      <c r="T58" s="210"/>
      <c r="U58" s="210"/>
      <c r="V58" s="210"/>
      <c r="W58" s="242"/>
    </row>
    <row r="59" spans="1:23" ht="14.25" customHeight="1">
      <c r="A59" s="229">
        <v>5</v>
      </c>
      <c r="B59" s="200"/>
      <c r="C59" s="229">
        <v>6</v>
      </c>
      <c r="D59" s="251" t="s">
        <v>44</v>
      </c>
      <c r="E59" s="217" t="s">
        <v>82</v>
      </c>
      <c r="F59" s="214">
        <v>32257</v>
      </c>
      <c r="G59" s="229"/>
      <c r="H59" s="229"/>
      <c r="I59" s="229"/>
      <c r="J59" s="229"/>
      <c r="K59" s="229"/>
      <c r="L59" s="229"/>
      <c r="M59" s="229"/>
      <c r="N59" s="229"/>
      <c r="O59" s="229"/>
      <c r="P59" s="218"/>
      <c r="Q59" s="218"/>
      <c r="R59" s="218"/>
      <c r="S59" s="218"/>
      <c r="T59" s="218"/>
      <c r="U59" s="218"/>
      <c r="V59" s="218"/>
      <c r="W59" s="234"/>
    </row>
    <row r="60" spans="1:23" ht="14.25" customHeight="1">
      <c r="A60" s="229">
        <v>3</v>
      </c>
      <c r="B60" s="200"/>
      <c r="C60" s="229">
        <v>10</v>
      </c>
      <c r="D60" s="239" t="s">
        <v>42</v>
      </c>
      <c r="E60" s="217" t="s">
        <v>106</v>
      </c>
      <c r="F60" s="214">
        <v>32208</v>
      </c>
      <c r="G60" s="229"/>
      <c r="H60" s="229"/>
      <c r="I60" s="229"/>
      <c r="J60" s="229"/>
      <c r="K60" s="229"/>
      <c r="L60" s="229"/>
      <c r="M60" s="229"/>
      <c r="N60" s="229"/>
      <c r="O60" s="229"/>
      <c r="P60" s="218"/>
      <c r="Q60" s="218"/>
      <c r="R60" s="218"/>
      <c r="S60" s="218"/>
      <c r="T60" s="218"/>
      <c r="U60" s="218"/>
      <c r="V60" s="218"/>
      <c r="W60" s="246"/>
    </row>
    <row r="61" spans="1:23" s="221" customFormat="1" ht="14.25" customHeight="1">
      <c r="A61" s="214">
        <v>9</v>
      </c>
      <c r="B61" s="200"/>
      <c r="C61" s="214">
        <v>10</v>
      </c>
      <c r="D61" s="251" t="s">
        <v>47</v>
      </c>
      <c r="E61" s="217" t="s">
        <v>85</v>
      </c>
      <c r="F61" s="214">
        <v>32208</v>
      </c>
      <c r="G61" s="214"/>
      <c r="H61" s="214"/>
      <c r="I61" s="214"/>
      <c r="J61" s="214"/>
      <c r="K61" s="214"/>
      <c r="L61" s="214"/>
      <c r="M61" s="214"/>
      <c r="N61" s="214"/>
      <c r="O61" s="214"/>
      <c r="P61" s="218"/>
      <c r="Q61" s="218"/>
      <c r="R61" s="218"/>
      <c r="S61" s="218"/>
      <c r="T61" s="218"/>
      <c r="U61" s="218"/>
      <c r="V61" s="218"/>
      <c r="W61" s="223"/>
    </row>
    <row r="62" spans="1:23" ht="14.25" customHeight="1">
      <c r="A62" s="229">
        <v>34</v>
      </c>
      <c r="B62" s="200"/>
      <c r="C62" s="229">
        <v>11</v>
      </c>
      <c r="D62" s="239" t="s">
        <v>66</v>
      </c>
      <c r="E62" s="217" t="s">
        <v>95</v>
      </c>
      <c r="F62" s="214">
        <v>32226</v>
      </c>
      <c r="G62" s="229"/>
      <c r="H62" s="229"/>
      <c r="I62" s="229"/>
      <c r="J62" s="229"/>
      <c r="K62" s="229"/>
      <c r="L62" s="229"/>
      <c r="M62" s="229"/>
      <c r="N62" s="229"/>
      <c r="O62" s="229"/>
      <c r="P62" s="218"/>
      <c r="Q62" s="218"/>
      <c r="R62" s="218"/>
      <c r="S62" s="218"/>
      <c r="T62" s="218"/>
      <c r="U62" s="218"/>
      <c r="V62" s="218"/>
      <c r="W62" s="246"/>
    </row>
    <row r="63" spans="1:23" ht="14.25" customHeight="1">
      <c r="A63" s="229">
        <v>35</v>
      </c>
      <c r="B63" s="200"/>
      <c r="C63" s="229">
        <v>8</v>
      </c>
      <c r="D63" s="239" t="s">
        <v>67</v>
      </c>
      <c r="E63" s="217" t="s">
        <v>96</v>
      </c>
      <c r="F63" s="214">
        <v>32219</v>
      </c>
      <c r="G63" s="252"/>
      <c r="H63" s="252"/>
      <c r="I63" s="252"/>
      <c r="J63" s="252"/>
      <c r="K63" s="252"/>
      <c r="L63" s="252"/>
      <c r="M63" s="252"/>
      <c r="N63" s="252"/>
      <c r="O63" s="252"/>
      <c r="P63" s="253"/>
      <c r="Q63" s="253"/>
      <c r="R63" s="253"/>
      <c r="S63" s="253"/>
      <c r="T63" s="253"/>
      <c r="U63" s="253"/>
      <c r="V63" s="253"/>
      <c r="W63" s="254"/>
    </row>
    <row r="64" spans="1:23" ht="14.25" customHeight="1">
      <c r="A64" s="229">
        <v>36</v>
      </c>
      <c r="B64" s="200"/>
      <c r="C64" s="229">
        <v>1</v>
      </c>
      <c r="D64" s="239" t="s">
        <v>129</v>
      </c>
      <c r="E64" s="217" t="s">
        <v>97</v>
      </c>
      <c r="F64" s="214">
        <v>32277</v>
      </c>
      <c r="G64" s="229"/>
      <c r="H64" s="229"/>
      <c r="I64" s="229"/>
      <c r="J64" s="229"/>
      <c r="K64" s="229"/>
      <c r="L64" s="229"/>
      <c r="M64" s="229"/>
      <c r="N64" s="229"/>
      <c r="O64" s="229"/>
      <c r="P64" s="218"/>
      <c r="Q64" s="218"/>
      <c r="R64" s="218"/>
      <c r="S64" s="218"/>
      <c r="T64" s="218"/>
      <c r="U64" s="218"/>
      <c r="V64" s="218"/>
      <c r="W64" s="246"/>
    </row>
    <row r="65" spans="1:23" ht="14.25" customHeight="1">
      <c r="A65" s="229">
        <v>37</v>
      </c>
      <c r="B65" s="200"/>
      <c r="C65" s="229">
        <v>8</v>
      </c>
      <c r="D65" s="239" t="s">
        <v>68</v>
      </c>
      <c r="E65" s="217" t="s">
        <v>120</v>
      </c>
      <c r="F65" s="214">
        <v>32209</v>
      </c>
      <c r="G65" s="229"/>
      <c r="H65" s="229"/>
      <c r="I65" s="229"/>
      <c r="J65" s="229"/>
      <c r="K65" s="229"/>
      <c r="L65" s="229"/>
      <c r="M65" s="229"/>
      <c r="N65" s="229"/>
      <c r="O65" s="229"/>
      <c r="P65" s="218"/>
      <c r="Q65" s="218"/>
      <c r="R65" s="218"/>
      <c r="S65" s="218"/>
      <c r="T65" s="218"/>
      <c r="U65" s="218"/>
      <c r="V65" s="218"/>
      <c r="W65" s="246"/>
    </row>
    <row r="66" spans="1:23" ht="14.25" customHeight="1">
      <c r="A66" s="252">
        <v>38</v>
      </c>
      <c r="B66" s="255"/>
      <c r="C66" s="252">
        <v>12</v>
      </c>
      <c r="D66" s="256" t="s">
        <v>69</v>
      </c>
      <c r="E66" s="257" t="s">
        <v>98</v>
      </c>
      <c r="F66" s="258">
        <v>32221</v>
      </c>
      <c r="G66" s="229"/>
      <c r="H66" s="229"/>
      <c r="I66" s="229"/>
      <c r="J66" s="229"/>
      <c r="K66" s="229"/>
      <c r="L66" s="229"/>
      <c r="M66" s="229"/>
      <c r="N66" s="229"/>
      <c r="O66" s="229"/>
      <c r="P66" s="218"/>
      <c r="Q66" s="218"/>
      <c r="R66" s="218"/>
      <c r="S66" s="218"/>
      <c r="T66" s="218"/>
      <c r="U66" s="218"/>
      <c r="V66" s="218"/>
      <c r="W66" s="246"/>
    </row>
    <row r="67" spans="1:23" ht="12" customHeight="1">
      <c r="A67" s="259"/>
      <c r="B67" s="260"/>
      <c r="C67" s="261"/>
      <c r="D67" s="262"/>
      <c r="E67" s="259"/>
      <c r="F67" s="259"/>
      <c r="G67" s="206"/>
      <c r="H67" s="206"/>
      <c r="I67" s="206"/>
      <c r="J67" s="206"/>
      <c r="K67" s="206"/>
      <c r="L67" s="206"/>
      <c r="M67" s="206"/>
      <c r="N67" s="206"/>
      <c r="O67" s="206"/>
      <c r="P67" s="210"/>
      <c r="Q67" s="210"/>
      <c r="R67" s="210"/>
      <c r="S67" s="210"/>
      <c r="T67" s="210"/>
      <c r="U67" s="210"/>
      <c r="V67" s="210"/>
      <c r="W67" s="242"/>
    </row>
    <row r="68" spans="1:23" ht="14.25" customHeight="1">
      <c r="A68" s="243" t="s">
        <v>131</v>
      </c>
      <c r="B68" s="243"/>
      <c r="C68" s="243"/>
      <c r="D68" s="243"/>
      <c r="E68" s="243"/>
      <c r="F68" s="243"/>
      <c r="G68" s="206"/>
      <c r="H68" s="206"/>
      <c r="I68" s="206"/>
      <c r="J68" s="206"/>
      <c r="K68" s="206"/>
      <c r="L68" s="206"/>
      <c r="M68" s="206"/>
      <c r="N68" s="206"/>
      <c r="O68" s="206"/>
      <c r="P68" s="210"/>
      <c r="Q68" s="210"/>
      <c r="R68" s="210"/>
      <c r="S68" s="210"/>
      <c r="T68" s="210"/>
      <c r="U68" s="210"/>
      <c r="V68" s="210"/>
      <c r="W68" s="242"/>
    </row>
    <row r="69" spans="1:23" ht="14.25" customHeight="1">
      <c r="A69" s="229">
        <v>43</v>
      </c>
      <c r="B69" s="200"/>
      <c r="C69" s="229">
        <v>7</v>
      </c>
      <c r="D69" s="239" t="s">
        <v>74</v>
      </c>
      <c r="E69" s="217" t="s">
        <v>102</v>
      </c>
      <c r="F69" s="214">
        <v>32218</v>
      </c>
      <c r="G69" s="229"/>
      <c r="H69" s="229"/>
      <c r="I69" s="229"/>
      <c r="J69" s="229"/>
      <c r="K69" s="229"/>
      <c r="L69" s="229"/>
      <c r="M69" s="229"/>
      <c r="N69" s="229"/>
      <c r="O69" s="229"/>
      <c r="P69" s="218"/>
      <c r="Q69" s="218"/>
      <c r="R69" s="218"/>
      <c r="S69" s="218"/>
      <c r="T69" s="218"/>
      <c r="U69" s="218"/>
      <c r="V69" s="218"/>
      <c r="W69" s="246"/>
    </row>
    <row r="70" spans="1:23" ht="14.25" customHeight="1">
      <c r="A70" s="229">
        <v>44</v>
      </c>
      <c r="B70" s="200"/>
      <c r="C70" s="229">
        <v>11</v>
      </c>
      <c r="D70" s="239" t="s">
        <v>75</v>
      </c>
      <c r="E70" s="217" t="s">
        <v>122</v>
      </c>
      <c r="F70" s="214">
        <v>32250</v>
      </c>
      <c r="G70" s="229"/>
      <c r="H70" s="229"/>
      <c r="I70" s="229"/>
      <c r="J70" s="229"/>
      <c r="K70" s="229"/>
      <c r="L70" s="229"/>
      <c r="M70" s="229"/>
      <c r="N70" s="229"/>
      <c r="O70" s="229"/>
      <c r="P70" s="218"/>
      <c r="Q70" s="218"/>
      <c r="R70" s="218"/>
      <c r="S70" s="218"/>
      <c r="T70" s="218"/>
      <c r="U70" s="218"/>
      <c r="V70" s="218"/>
      <c r="W70" s="246"/>
    </row>
    <row r="71" spans="7:23" ht="12" customHeight="1">
      <c r="G71" s="206"/>
      <c r="H71" s="206"/>
      <c r="I71" s="206"/>
      <c r="J71" s="206"/>
      <c r="K71" s="206"/>
      <c r="L71" s="206"/>
      <c r="M71" s="206"/>
      <c r="N71" s="206"/>
      <c r="O71" s="206"/>
      <c r="P71" s="210"/>
      <c r="Q71" s="210"/>
      <c r="R71" s="210"/>
      <c r="S71" s="210"/>
      <c r="T71" s="210"/>
      <c r="U71" s="210"/>
      <c r="V71" s="210"/>
      <c r="W71" s="242"/>
    </row>
    <row r="72" spans="1:23" ht="14.25" customHeight="1">
      <c r="A72" s="243" t="s">
        <v>132</v>
      </c>
      <c r="B72" s="243"/>
      <c r="C72" s="243"/>
      <c r="D72" s="243"/>
      <c r="E72" s="243"/>
      <c r="F72" s="243"/>
      <c r="G72" s="206"/>
      <c r="H72" s="206"/>
      <c r="I72" s="206"/>
      <c r="J72" s="206"/>
      <c r="K72" s="206"/>
      <c r="L72" s="206"/>
      <c r="M72" s="206"/>
      <c r="N72" s="206"/>
      <c r="O72" s="206"/>
      <c r="P72" s="210"/>
      <c r="Q72" s="210"/>
      <c r="R72" s="210"/>
      <c r="S72" s="210"/>
      <c r="T72" s="210"/>
      <c r="U72" s="210"/>
      <c r="V72" s="210"/>
      <c r="W72" s="242"/>
    </row>
    <row r="73" spans="1:23" ht="14.25" customHeight="1">
      <c r="A73" s="229">
        <v>45</v>
      </c>
      <c r="B73" s="200"/>
      <c r="C73" s="229">
        <v>9</v>
      </c>
      <c r="D73" s="239" t="s">
        <v>76</v>
      </c>
      <c r="E73" s="217" t="s">
        <v>123</v>
      </c>
      <c r="F73" s="214">
        <v>32204</v>
      </c>
      <c r="G73" s="229"/>
      <c r="H73" s="229"/>
      <c r="I73" s="229"/>
      <c r="J73" s="229"/>
      <c r="K73" s="229"/>
      <c r="L73" s="229"/>
      <c r="M73" s="229"/>
      <c r="N73" s="229"/>
      <c r="O73" s="229"/>
      <c r="P73" s="218"/>
      <c r="Q73" s="218"/>
      <c r="R73" s="218"/>
      <c r="S73" s="218"/>
      <c r="T73" s="218"/>
      <c r="U73" s="218"/>
      <c r="V73" s="218"/>
      <c r="W73" s="246"/>
    </row>
    <row r="74" spans="1:23" ht="14.25" customHeight="1">
      <c r="A74" s="229">
        <v>47</v>
      </c>
      <c r="B74" s="200"/>
      <c r="C74" s="229">
        <v>10</v>
      </c>
      <c r="D74" s="239" t="s">
        <v>78</v>
      </c>
      <c r="E74" s="217" t="s">
        <v>104</v>
      </c>
      <c r="F74" s="214">
        <v>32209</v>
      </c>
      <c r="G74" s="229"/>
      <c r="H74" s="229"/>
      <c r="I74" s="229"/>
      <c r="J74" s="229"/>
      <c r="K74" s="229"/>
      <c r="L74" s="229"/>
      <c r="M74" s="229"/>
      <c r="N74" s="229"/>
      <c r="O74" s="229"/>
      <c r="P74" s="218"/>
      <c r="Q74" s="218"/>
      <c r="R74" s="218"/>
      <c r="S74" s="218"/>
      <c r="T74" s="218"/>
      <c r="U74" s="218"/>
      <c r="V74" s="218"/>
      <c r="W74" s="246"/>
    </row>
    <row r="75" spans="1:23" ht="12" customHeight="1">
      <c r="A75" s="206"/>
      <c r="B75" s="263"/>
      <c r="C75" s="206"/>
      <c r="D75" s="208"/>
      <c r="E75" s="209"/>
      <c r="F75" s="207"/>
      <c r="G75" s="206"/>
      <c r="H75" s="206"/>
      <c r="I75" s="206"/>
      <c r="J75" s="206"/>
      <c r="K75" s="206"/>
      <c r="L75" s="206"/>
      <c r="M75" s="206"/>
      <c r="N75" s="206"/>
      <c r="O75" s="206"/>
      <c r="P75" s="210"/>
      <c r="Q75" s="210"/>
      <c r="R75" s="210"/>
      <c r="S75" s="210"/>
      <c r="T75" s="210"/>
      <c r="U75" s="210"/>
      <c r="V75" s="210"/>
      <c r="W75" s="242"/>
    </row>
    <row r="76" spans="7:18" ht="14.25" customHeight="1">
      <c r="G76" s="294" t="s">
        <v>377</v>
      </c>
      <c r="H76" s="294"/>
      <c r="I76" s="294"/>
      <c r="J76" s="294"/>
      <c r="K76" s="294"/>
      <c r="L76" s="294"/>
      <c r="M76" s="294"/>
      <c r="N76" s="294"/>
      <c r="O76" s="294"/>
      <c r="P76" s="295"/>
      <c r="Q76" s="295"/>
      <c r="R76" s="295"/>
    </row>
    <row r="77" spans="2:18" ht="14.25" customHeight="1">
      <c r="B77" s="208"/>
      <c r="C77" s="208"/>
      <c r="D77" s="208"/>
      <c r="E77" s="208"/>
      <c r="F77" s="208"/>
      <c r="G77" s="296" t="s">
        <v>334</v>
      </c>
      <c r="H77" s="297"/>
      <c r="I77" s="297"/>
      <c r="J77" s="297"/>
      <c r="K77" s="297"/>
      <c r="L77" s="297"/>
      <c r="M77" s="297"/>
      <c r="N77" s="297"/>
      <c r="O77" s="297"/>
      <c r="P77" s="298"/>
      <c r="Q77" s="298"/>
      <c r="R77" s="299">
        <f>SUM(R5:R11)</f>
        <v>2275090.7</v>
      </c>
    </row>
    <row r="78" spans="2:18" ht="14.25" customHeight="1">
      <c r="B78" s="208"/>
      <c r="C78" s="208"/>
      <c r="D78" s="208"/>
      <c r="E78" s="208"/>
      <c r="F78" s="208"/>
      <c r="G78" s="300" t="s">
        <v>335</v>
      </c>
      <c r="H78" s="301"/>
      <c r="I78" s="301"/>
      <c r="J78" s="301"/>
      <c r="K78" s="301"/>
      <c r="L78" s="301"/>
      <c r="M78" s="301"/>
      <c r="N78" s="301"/>
      <c r="O78" s="301"/>
      <c r="P78" s="302"/>
      <c r="Q78" s="302"/>
      <c r="R78" s="299">
        <f>SUM(R14:R19)</f>
        <v>614279.44</v>
      </c>
    </row>
    <row r="79" spans="2:18" ht="14.25" customHeight="1">
      <c r="B79" s="208"/>
      <c r="C79" s="208"/>
      <c r="D79" s="208"/>
      <c r="E79" s="208"/>
      <c r="F79" s="208"/>
      <c r="G79" s="296" t="s">
        <v>338</v>
      </c>
      <c r="H79" s="297"/>
      <c r="I79" s="297"/>
      <c r="J79" s="297"/>
      <c r="K79" s="297"/>
      <c r="L79" s="297"/>
      <c r="M79" s="297"/>
      <c r="N79" s="297"/>
      <c r="O79" s="297"/>
      <c r="P79" s="298"/>
      <c r="Q79" s="298"/>
      <c r="R79" s="299">
        <f>SUM(R22:R25)</f>
        <v>307097.89999999997</v>
      </c>
    </row>
    <row r="80" spans="2:18" ht="14.25" customHeight="1">
      <c r="B80" s="208"/>
      <c r="C80" s="208"/>
      <c r="D80" s="208"/>
      <c r="E80" s="208"/>
      <c r="F80" s="208"/>
      <c r="G80" s="296" t="s">
        <v>337</v>
      </c>
      <c r="H80" s="303"/>
      <c r="I80" s="303"/>
      <c r="J80" s="303"/>
      <c r="K80" s="303"/>
      <c r="L80" s="303"/>
      <c r="M80" s="303"/>
      <c r="N80" s="303"/>
      <c r="O80" s="303"/>
      <c r="P80" s="304"/>
      <c r="Q80" s="304"/>
      <c r="R80" s="299">
        <f>SUM(R28:R32)</f>
        <v>234920</v>
      </c>
    </row>
    <row r="81" spans="2:18" ht="14.25" customHeight="1">
      <c r="B81" s="208"/>
      <c r="C81" s="208"/>
      <c r="D81" s="208"/>
      <c r="E81" s="208"/>
      <c r="F81" s="208"/>
      <c r="G81" s="301"/>
      <c r="H81" s="294"/>
      <c r="I81" s="294"/>
      <c r="J81" s="294"/>
      <c r="K81" s="294"/>
      <c r="L81" s="294"/>
      <c r="M81" s="294"/>
      <c r="N81" s="294"/>
      <c r="O81" s="294"/>
      <c r="P81" s="295"/>
      <c r="Q81" s="295"/>
      <c r="R81" s="295"/>
    </row>
    <row r="82" spans="7:18" ht="14.25" customHeight="1">
      <c r="G82" s="296" t="s">
        <v>373</v>
      </c>
      <c r="H82" s="305"/>
      <c r="I82" s="305"/>
      <c r="J82" s="305"/>
      <c r="K82" s="305"/>
      <c r="L82" s="305"/>
      <c r="M82" s="305"/>
      <c r="N82" s="305"/>
      <c r="O82" s="305"/>
      <c r="P82" s="306"/>
      <c r="Q82" s="306"/>
      <c r="R82" s="307">
        <f>SUM(R77:R78)</f>
        <v>2889370.14</v>
      </c>
    </row>
    <row r="83" spans="7:18" ht="14.25" customHeight="1">
      <c r="G83" s="296" t="s">
        <v>374</v>
      </c>
      <c r="H83" s="308"/>
      <c r="I83" s="297"/>
      <c r="J83" s="297"/>
      <c r="K83" s="297"/>
      <c r="L83" s="297"/>
      <c r="M83" s="297"/>
      <c r="N83" s="297"/>
      <c r="O83" s="297"/>
      <c r="P83" s="298"/>
      <c r="Q83" s="298"/>
      <c r="R83" s="299">
        <f>SUM(R77:R79)</f>
        <v>3196468.04</v>
      </c>
    </row>
    <row r="84" spans="7:18" ht="14.25" customHeight="1">
      <c r="G84" s="296" t="s">
        <v>376</v>
      </c>
      <c r="H84" s="303"/>
      <c r="I84" s="303"/>
      <c r="J84" s="303"/>
      <c r="K84" s="303"/>
      <c r="L84" s="303"/>
      <c r="M84" s="303"/>
      <c r="N84" s="303"/>
      <c r="O84" s="303"/>
      <c r="P84" s="304"/>
      <c r="Q84" s="304"/>
      <c r="R84" s="309">
        <f>SUM(R77:R80)</f>
        <v>3431388.04</v>
      </c>
    </row>
    <row r="85" spans="7:18" ht="14.25" customHeight="1">
      <c r="G85" s="294"/>
      <c r="H85" s="294"/>
      <c r="I85" s="294"/>
      <c r="J85" s="294"/>
      <c r="K85" s="294"/>
      <c r="L85" s="294"/>
      <c r="M85" s="294"/>
      <c r="N85" s="294"/>
      <c r="O85" s="294"/>
      <c r="P85" s="295"/>
      <c r="Q85" s="295"/>
      <c r="R85" s="295"/>
    </row>
    <row r="86" spans="7:19" ht="14.25" customHeight="1">
      <c r="G86" s="296" t="s">
        <v>375</v>
      </c>
      <c r="H86" s="308"/>
      <c r="I86" s="297"/>
      <c r="J86" s="297"/>
      <c r="K86" s="297"/>
      <c r="L86" s="297"/>
      <c r="M86" s="297"/>
      <c r="N86" s="297"/>
      <c r="O86" s="297"/>
      <c r="P86" s="298"/>
      <c r="Q86" s="298"/>
      <c r="R86" s="298"/>
      <c r="S86" s="293"/>
    </row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</sheetData>
  <sheetProtection/>
  <mergeCells count="9">
    <mergeCell ref="X27:AB32"/>
    <mergeCell ref="B41:M41"/>
    <mergeCell ref="B40:M40"/>
    <mergeCell ref="X2:AB2"/>
    <mergeCell ref="B1:D1"/>
    <mergeCell ref="F1:M1"/>
    <mergeCell ref="X4:AB11"/>
    <mergeCell ref="X13:AB19"/>
    <mergeCell ref="X21:AB25"/>
  </mergeCells>
  <printOptions/>
  <pageMargins left="0" right="0" top="1.0344444444444445" bottom="0.76" header="0.25" footer="0"/>
  <pageSetup horizontalDpi="600" verticalDpi="600" orientation="landscape" paperSize="5" scale="76" r:id="rId2"/>
  <headerFooter scaleWithDoc="0" alignWithMargins="0">
    <oddHeader>&amp;CCommunity Center Priority Listing 
with 
Estimated Costs 
FY 2013-2014</oddHeader>
    <oddFooter>&amp;L&amp;8&amp;D&amp;Z&amp;F&amp;R&amp;8Page &amp;P of &amp;N</oddFooter>
  </headerFooter>
  <rowBreaks count="1" manualBreakCount="1">
    <brk id="33" max="2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2"/>
  <sheetViews>
    <sheetView view="pageLayout" zoomScaleNormal="125" workbookViewId="0" topLeftCell="A1">
      <selection activeCell="A25" sqref="A25:C25"/>
    </sheetView>
  </sheetViews>
  <sheetFormatPr defaultColWidth="9.140625" defaultRowHeight="12.75"/>
  <cols>
    <col min="1" max="1" width="23.7109375" style="9" customWidth="1"/>
    <col min="2" max="2" width="17.28125" style="9" customWidth="1"/>
    <col min="3" max="3" width="7.7109375" style="9" bestFit="1" customWidth="1"/>
    <col min="4" max="4" width="17.421875" style="6" customWidth="1"/>
    <col min="5" max="5" width="7.28125" style="9" customWidth="1"/>
    <col min="6" max="6" width="16.8515625" style="9" customWidth="1"/>
    <col min="7" max="7" width="7.421875" style="9" bestFit="1" customWidth="1"/>
    <col min="8" max="8" width="7.00390625" style="6" customWidth="1"/>
    <col min="9" max="9" width="6.8515625" style="9" customWidth="1"/>
    <col min="10" max="10" width="6.7109375" style="9" bestFit="1" customWidth="1"/>
    <col min="11" max="11" width="7.140625" style="9" customWidth="1"/>
    <col min="12" max="12" width="16.140625" style="9" customWidth="1"/>
    <col min="13" max="13" width="7.00390625" style="9" customWidth="1"/>
    <col min="14" max="14" width="0.71875" style="9" customWidth="1"/>
    <col min="15" max="15" width="9.28125" style="9" bestFit="1" customWidth="1"/>
    <col min="16" max="16" width="7.421875" style="9" customWidth="1"/>
    <col min="17" max="17" width="8.57421875" style="9" customWidth="1"/>
    <col min="18" max="20" width="9.140625" style="9" customWidth="1"/>
    <col min="21" max="21" width="10.57421875" style="9" customWidth="1"/>
    <col min="22" max="16384" width="9.140625" style="9" customWidth="1"/>
  </cols>
  <sheetData>
    <row r="1" spans="1:21" s="3" customFormat="1" ht="36" customHeight="1" thickBot="1">
      <c r="A1" s="1" t="s">
        <v>0</v>
      </c>
      <c r="B1" s="1" t="s">
        <v>277</v>
      </c>
      <c r="C1" s="1" t="s">
        <v>278</v>
      </c>
      <c r="D1" s="164" t="s">
        <v>145</v>
      </c>
      <c r="E1" s="164" t="s">
        <v>14</v>
      </c>
      <c r="F1" s="1" t="s">
        <v>30</v>
      </c>
      <c r="G1" s="1" t="s">
        <v>222</v>
      </c>
      <c r="H1" s="1" t="s">
        <v>27</v>
      </c>
      <c r="I1" s="1" t="s">
        <v>22</v>
      </c>
      <c r="J1" s="1" t="s">
        <v>4</v>
      </c>
      <c r="K1" s="1" t="s">
        <v>23</v>
      </c>
      <c r="L1" s="1" t="s">
        <v>159</v>
      </c>
      <c r="M1" s="1" t="s">
        <v>5</v>
      </c>
      <c r="N1" s="1"/>
      <c r="O1" s="1" t="s">
        <v>151</v>
      </c>
      <c r="P1" s="1" t="s">
        <v>29</v>
      </c>
      <c r="Q1" s="1" t="s">
        <v>3</v>
      </c>
      <c r="R1" s="1" t="s">
        <v>310</v>
      </c>
      <c r="S1" s="1" t="s">
        <v>308</v>
      </c>
      <c r="T1" s="1" t="s">
        <v>307</v>
      </c>
      <c r="U1" s="1" t="s">
        <v>146</v>
      </c>
    </row>
    <row r="2" spans="1:19" s="3" customFormat="1" ht="12.75" customHeight="1">
      <c r="A2" s="4" t="s">
        <v>12</v>
      </c>
      <c r="B2" s="2"/>
      <c r="C2" s="154"/>
      <c r="D2" s="155"/>
      <c r="E2" s="155"/>
      <c r="F2" s="154"/>
      <c r="G2" s="154"/>
      <c r="H2" s="154"/>
      <c r="I2" s="154"/>
      <c r="J2" s="154"/>
      <c r="K2" s="155"/>
      <c r="L2" s="154"/>
      <c r="M2" s="154"/>
      <c r="N2" s="2"/>
      <c r="O2" s="2"/>
      <c r="P2" s="2"/>
      <c r="Q2" s="2"/>
      <c r="R2" s="2"/>
      <c r="S2" s="2"/>
    </row>
    <row r="3" spans="1:18" ht="12.75" customHeight="1">
      <c r="A3" s="5" t="s">
        <v>8</v>
      </c>
      <c r="B3" s="6" t="s">
        <v>284</v>
      </c>
      <c r="C3" s="143">
        <v>18720</v>
      </c>
      <c r="D3" s="146"/>
      <c r="E3" s="149"/>
      <c r="F3" s="147" t="s">
        <v>285</v>
      </c>
      <c r="G3" s="143">
        <v>12896</v>
      </c>
      <c r="H3" s="147"/>
      <c r="I3" s="144"/>
      <c r="J3" s="143">
        <v>6344</v>
      </c>
      <c r="K3" s="143">
        <v>2080</v>
      </c>
      <c r="L3" s="145" t="s">
        <v>287</v>
      </c>
      <c r="M3" s="143">
        <v>3588</v>
      </c>
      <c r="N3" s="7"/>
      <c r="O3" s="7">
        <f>SUM(C3,E3,G3,I3,J3,K3,M3,N3)</f>
        <v>43628</v>
      </c>
      <c r="P3" s="7"/>
      <c r="Q3" s="7"/>
      <c r="R3" s="7"/>
    </row>
    <row r="4" spans="1:18" ht="12.75" customHeight="1">
      <c r="A4" s="5" t="s">
        <v>8</v>
      </c>
      <c r="B4" s="6" t="s">
        <v>284</v>
      </c>
      <c r="C4" s="143">
        <v>18720</v>
      </c>
      <c r="D4" s="149" t="s">
        <v>324</v>
      </c>
      <c r="E4" s="149">
        <v>9360</v>
      </c>
      <c r="F4" s="147" t="s">
        <v>285</v>
      </c>
      <c r="G4" s="143">
        <v>12896</v>
      </c>
      <c r="H4" s="147"/>
      <c r="I4" s="144"/>
      <c r="J4" s="143">
        <v>6344</v>
      </c>
      <c r="K4" s="143">
        <v>2080</v>
      </c>
      <c r="L4" s="145" t="s">
        <v>287</v>
      </c>
      <c r="M4" s="143">
        <v>3588</v>
      </c>
      <c r="N4" s="7"/>
      <c r="O4" s="7">
        <f>SUM(C4,E4,G4,I4,J4,K4,M4,N4)</f>
        <v>52988</v>
      </c>
      <c r="P4" s="7"/>
      <c r="Q4" s="7"/>
      <c r="R4" s="7"/>
    </row>
    <row r="5" spans="2:20" ht="12.75" customHeight="1">
      <c r="B5" s="6"/>
      <c r="C5" s="143"/>
      <c r="D5" s="149"/>
      <c r="E5" s="149"/>
      <c r="F5" s="147"/>
      <c r="G5" s="143"/>
      <c r="H5" s="147"/>
      <c r="I5" s="144"/>
      <c r="J5" s="144"/>
      <c r="K5" s="144"/>
      <c r="L5" s="147"/>
      <c r="M5" s="143"/>
      <c r="N5" s="7"/>
      <c r="O5" s="7"/>
      <c r="P5" s="7"/>
      <c r="Q5" s="7"/>
      <c r="R5" s="7"/>
      <c r="S5" s="7"/>
      <c r="T5" s="7"/>
    </row>
    <row r="6" spans="1:18" ht="12.75" customHeight="1">
      <c r="A6" s="9" t="s">
        <v>32</v>
      </c>
      <c r="B6" s="6"/>
      <c r="C6" s="144"/>
      <c r="D6" s="149" t="s">
        <v>286</v>
      </c>
      <c r="E6" s="149">
        <v>1791</v>
      </c>
      <c r="F6" s="147" t="s">
        <v>290</v>
      </c>
      <c r="G6" s="143">
        <v>12935</v>
      </c>
      <c r="H6" s="147"/>
      <c r="I6" s="144"/>
      <c r="J6" s="144"/>
      <c r="K6" s="144"/>
      <c r="L6" s="147"/>
      <c r="M6" s="150"/>
      <c r="N6" s="7"/>
      <c r="O6" s="7">
        <f>SUM(C6,E6,G6,I6,J6,K6,M6,N6)</f>
        <v>14726</v>
      </c>
      <c r="P6" s="7"/>
      <c r="Q6" s="7"/>
      <c r="R6" s="7"/>
    </row>
    <row r="7" spans="1:18" ht="12.75" customHeight="1">
      <c r="A7" s="9" t="s">
        <v>32</v>
      </c>
      <c r="B7" s="6"/>
      <c r="C7" s="144"/>
      <c r="D7" s="147"/>
      <c r="E7" s="151"/>
      <c r="F7" s="147" t="s">
        <v>291</v>
      </c>
      <c r="G7" s="143">
        <v>12935</v>
      </c>
      <c r="H7" s="147"/>
      <c r="I7" s="144"/>
      <c r="J7" s="144"/>
      <c r="K7" s="144"/>
      <c r="L7" s="147"/>
      <c r="M7" s="150"/>
      <c r="N7" s="7"/>
      <c r="O7" s="7">
        <f>SUM(C7,E7,G7,I7,J7,K7,M7,N7)</f>
        <v>12935</v>
      </c>
      <c r="P7" s="7"/>
      <c r="Q7" s="7"/>
      <c r="R7" s="7"/>
    </row>
    <row r="8" spans="1:21" ht="12.75" customHeight="1" thickBot="1">
      <c r="A8" s="9" t="s">
        <v>13</v>
      </c>
      <c r="B8" s="6"/>
      <c r="C8" s="152"/>
      <c r="D8" s="153"/>
      <c r="E8" s="152"/>
      <c r="F8" s="153"/>
      <c r="G8" s="152"/>
      <c r="H8" s="153"/>
      <c r="I8" s="152"/>
      <c r="J8" s="152">
        <v>11218.04</v>
      </c>
      <c r="K8" s="152"/>
      <c r="L8" s="152"/>
      <c r="M8" s="152"/>
      <c r="N8" s="7"/>
      <c r="O8" s="7">
        <f aca="true" t="shared" si="0" ref="O8:O19">SUM(C8,E8,G8,I8,J8,K8,M8,N8)</f>
        <v>11218.04</v>
      </c>
      <c r="P8" s="7"/>
      <c r="Q8" s="7"/>
      <c r="R8" s="12"/>
      <c r="U8" s="41" t="s">
        <v>311</v>
      </c>
    </row>
    <row r="9" spans="1:21" ht="12.75" customHeight="1">
      <c r="A9" s="5" t="s">
        <v>31</v>
      </c>
      <c r="B9" s="6"/>
      <c r="C9" s="7">
        <v>65</v>
      </c>
      <c r="E9" s="8"/>
      <c r="F9" s="6"/>
      <c r="G9" s="7">
        <v>0</v>
      </c>
      <c r="I9" s="7"/>
      <c r="J9" s="7">
        <v>660.12</v>
      </c>
      <c r="K9" s="7"/>
      <c r="L9" s="7"/>
      <c r="M9" s="7">
        <v>0</v>
      </c>
      <c r="N9" s="7"/>
      <c r="O9" s="7"/>
      <c r="P9" s="7">
        <f>SUM(B9:O9)</f>
        <v>725.12</v>
      </c>
      <c r="Q9" s="7"/>
      <c r="R9" s="7">
        <v>97145</v>
      </c>
      <c r="S9" s="7">
        <v>460</v>
      </c>
      <c r="T9" s="7">
        <v>38719.67</v>
      </c>
      <c r="U9" s="12">
        <f>SUM(Q10,R9,S9,T9)</f>
        <v>137049.78999999998</v>
      </c>
    </row>
    <row r="10" spans="1:18" ht="12.75" customHeight="1">
      <c r="A10" s="11" t="s">
        <v>147</v>
      </c>
      <c r="B10" s="11"/>
      <c r="C10" s="12">
        <f>SUM(C3:C8)</f>
        <v>37440</v>
      </c>
      <c r="D10" s="11"/>
      <c r="E10" s="13">
        <f>SUM(E3:E9)</f>
        <v>11151</v>
      </c>
      <c r="F10" s="11"/>
      <c r="G10" s="12">
        <f>SUM(G3:G9)</f>
        <v>51662</v>
      </c>
      <c r="H10" s="11"/>
      <c r="I10" s="12">
        <f>SUM(I3:I9)</f>
        <v>0</v>
      </c>
      <c r="J10" s="12">
        <f>SUM(J3:J8)</f>
        <v>23906.04</v>
      </c>
      <c r="K10" s="12">
        <f>SUM(K3:K9)</f>
        <v>4160</v>
      </c>
      <c r="L10" s="12"/>
      <c r="M10" s="12">
        <f>SUM(M3:M9)</f>
        <v>7176</v>
      </c>
      <c r="N10" s="12"/>
      <c r="O10" s="12">
        <f t="shared" si="0"/>
        <v>135495.04</v>
      </c>
      <c r="P10" s="12">
        <f>SUM(P9)</f>
        <v>725.12</v>
      </c>
      <c r="Q10" s="12">
        <f>SUM(P10)</f>
        <v>725.12</v>
      </c>
      <c r="R10" s="7"/>
    </row>
    <row r="11" spans="1:18" s="15" customFormat="1" ht="12.75" customHeight="1">
      <c r="A11" s="14" t="s">
        <v>148</v>
      </c>
      <c r="B11" s="6"/>
      <c r="C11" s="7"/>
      <c r="D11" s="6"/>
      <c r="E11" s="8"/>
      <c r="F11" s="6"/>
      <c r="G11" s="7"/>
      <c r="H11" s="6"/>
      <c r="I11" s="7"/>
      <c r="J11" s="12"/>
      <c r="K11" s="12"/>
      <c r="L11" s="12"/>
      <c r="M11" s="12"/>
      <c r="N11" s="12"/>
      <c r="O11" s="7"/>
      <c r="P11" s="12"/>
      <c r="Q11" s="12"/>
      <c r="R11" s="12"/>
    </row>
    <row r="12" spans="2:21" ht="12.75" customHeight="1">
      <c r="B12" s="6"/>
      <c r="C12" s="7"/>
      <c r="E12" s="8"/>
      <c r="F12" s="6"/>
      <c r="G12" s="7"/>
      <c r="I12" s="7"/>
      <c r="J12" s="7"/>
      <c r="K12" s="7"/>
      <c r="L12" s="7"/>
      <c r="M12" s="7"/>
      <c r="N12" s="7"/>
      <c r="O12" s="7">
        <f t="shared" si="0"/>
        <v>0</v>
      </c>
      <c r="P12" s="7"/>
      <c r="Q12" s="7"/>
      <c r="R12" s="12"/>
      <c r="S12" s="15"/>
      <c r="T12" s="15"/>
      <c r="U12" s="15"/>
    </row>
    <row r="13" spans="1:18" s="15" customFormat="1" ht="12.75" customHeight="1">
      <c r="A13" s="9"/>
      <c r="B13" s="6"/>
      <c r="C13" s="7"/>
      <c r="D13" s="6"/>
      <c r="E13" s="8"/>
      <c r="F13" s="6"/>
      <c r="G13" s="7"/>
      <c r="H13" s="6"/>
      <c r="I13" s="7"/>
      <c r="J13" s="7"/>
      <c r="K13" s="12"/>
      <c r="L13" s="12"/>
      <c r="M13" s="12"/>
      <c r="N13" s="12"/>
      <c r="O13" s="7">
        <f t="shared" si="0"/>
        <v>0</v>
      </c>
      <c r="P13" s="12"/>
      <c r="Q13" s="12"/>
      <c r="R13" s="12"/>
    </row>
    <row r="14" spans="1:18" s="15" customFormat="1" ht="12.75" customHeight="1">
      <c r="A14" s="9"/>
      <c r="B14" s="6"/>
      <c r="C14" s="7"/>
      <c r="D14" s="6"/>
      <c r="E14" s="8"/>
      <c r="F14" s="6"/>
      <c r="G14" s="7"/>
      <c r="H14" s="6"/>
      <c r="I14" s="7"/>
      <c r="J14" s="7"/>
      <c r="K14" s="7"/>
      <c r="L14" s="7"/>
      <c r="M14" s="7"/>
      <c r="N14" s="12"/>
      <c r="O14" s="7">
        <f t="shared" si="0"/>
        <v>0</v>
      </c>
      <c r="P14" s="12"/>
      <c r="Q14" s="12"/>
      <c r="R14" s="12"/>
    </row>
    <row r="15" spans="1:21" s="15" customFormat="1" ht="12.75" customHeight="1">
      <c r="A15" s="9" t="s">
        <v>28</v>
      </c>
      <c r="B15" s="6"/>
      <c r="C15" s="7">
        <v>229</v>
      </c>
      <c r="D15" s="6"/>
      <c r="E15" s="8"/>
      <c r="F15" s="6"/>
      <c r="G15" s="7"/>
      <c r="H15" s="6"/>
      <c r="I15" s="7"/>
      <c r="J15" s="7">
        <v>361</v>
      </c>
      <c r="K15" s="7">
        <v>127</v>
      </c>
      <c r="L15" s="7"/>
      <c r="M15" s="7"/>
      <c r="N15" s="12"/>
      <c r="O15" s="7">
        <f t="shared" si="0"/>
        <v>717</v>
      </c>
      <c r="P15" s="12"/>
      <c r="Q15" s="12"/>
      <c r="R15" s="21"/>
      <c r="S15" s="21"/>
      <c r="T15" s="21"/>
      <c r="U15" s="21"/>
    </row>
    <row r="16" spans="1:17" s="15" customFormat="1" ht="12.75" customHeight="1">
      <c r="A16" s="9"/>
      <c r="B16" s="6"/>
      <c r="C16" s="7"/>
      <c r="D16" s="6"/>
      <c r="E16" s="8"/>
      <c r="F16" s="6"/>
      <c r="G16" s="7"/>
      <c r="H16" s="6"/>
      <c r="I16" s="7"/>
      <c r="J16" s="7">
        <v>692</v>
      </c>
      <c r="K16" s="7">
        <v>297</v>
      </c>
      <c r="L16" s="7"/>
      <c r="M16" s="7"/>
      <c r="N16" s="7"/>
      <c r="O16" s="7">
        <f t="shared" si="0"/>
        <v>989</v>
      </c>
      <c r="P16" s="12"/>
      <c r="Q16" s="12"/>
    </row>
    <row r="17" spans="1:17" s="21" customFormat="1" ht="12.75" customHeight="1">
      <c r="A17" s="16" t="s">
        <v>15</v>
      </c>
      <c r="B17" s="17"/>
      <c r="C17" s="18">
        <v>604</v>
      </c>
      <c r="D17" s="17"/>
      <c r="E17" s="19"/>
      <c r="F17" s="17"/>
      <c r="G17" s="18"/>
      <c r="H17" s="17"/>
      <c r="I17" s="18"/>
      <c r="J17" s="18">
        <v>805</v>
      </c>
      <c r="K17" s="18">
        <v>127</v>
      </c>
      <c r="L17" s="18"/>
      <c r="M17" s="18"/>
      <c r="N17" s="18"/>
      <c r="O17" s="7">
        <f t="shared" si="0"/>
        <v>1536</v>
      </c>
      <c r="P17" s="20"/>
      <c r="Q17" s="20"/>
    </row>
    <row r="18" spans="1:17" s="21" customFormat="1" ht="12.75" customHeight="1">
      <c r="A18" s="22" t="s">
        <v>147</v>
      </c>
      <c r="B18" s="17"/>
      <c r="C18" s="20">
        <f>SUM(C12:C17)</f>
        <v>833</v>
      </c>
      <c r="D18" s="22"/>
      <c r="E18" s="20">
        <f>SUM(E13:E17)</f>
        <v>0</v>
      </c>
      <c r="F18" s="22"/>
      <c r="G18" s="20">
        <f>SUM(G12:G17)</f>
        <v>0</v>
      </c>
      <c r="H18" s="22"/>
      <c r="I18" s="20">
        <f>SUM(I12:I17)</f>
        <v>0</v>
      </c>
      <c r="J18" s="20">
        <f>SUM(J12:J17)</f>
        <v>1858</v>
      </c>
      <c r="K18" s="20">
        <f>SUM(K12:K17)</f>
        <v>551</v>
      </c>
      <c r="L18" s="20"/>
      <c r="M18" s="20">
        <f>SUM(M12:M17)</f>
        <v>0</v>
      </c>
      <c r="N18" s="20"/>
      <c r="O18" s="12">
        <f>SUM(O12:O17)</f>
        <v>3242</v>
      </c>
      <c r="P18" s="20">
        <f>SUM(P12:P17)</f>
        <v>0</v>
      </c>
      <c r="Q18" s="20"/>
    </row>
    <row r="19" spans="1:21" s="15" customFormat="1" ht="12.75" customHeight="1" thickBot="1">
      <c r="A19" s="24" t="s">
        <v>6</v>
      </c>
      <c r="B19" s="24"/>
      <c r="C19" s="25">
        <f>C10+C18</f>
        <v>38273</v>
      </c>
      <c r="D19" s="24"/>
      <c r="E19" s="25">
        <f>E10+E18</f>
        <v>11151</v>
      </c>
      <c r="F19" s="24"/>
      <c r="G19" s="25">
        <f>G10+G18</f>
        <v>51662</v>
      </c>
      <c r="H19" s="24"/>
      <c r="I19" s="25">
        <f>I10+I18</f>
        <v>0</v>
      </c>
      <c r="J19" s="25">
        <f>J10+J18</f>
        <v>25764.04</v>
      </c>
      <c r="K19" s="25">
        <f>K10+K18</f>
        <v>4711</v>
      </c>
      <c r="L19" s="25"/>
      <c r="M19" s="25">
        <f>M10+M18</f>
        <v>7176</v>
      </c>
      <c r="N19" s="25">
        <f>N10+N18</f>
        <v>0</v>
      </c>
      <c r="O19" s="25">
        <f t="shared" si="0"/>
        <v>138737.04</v>
      </c>
      <c r="P19" s="25">
        <f>P10+P18</f>
        <v>725.12</v>
      </c>
      <c r="Q19" s="25">
        <f>SUM(O19:P19)</f>
        <v>139462.16</v>
      </c>
      <c r="R19" s="25"/>
      <c r="S19" s="160"/>
      <c r="T19" s="160"/>
      <c r="U19" s="25">
        <f>SUM(Q19+R9+S9+T9)</f>
        <v>275786.83</v>
      </c>
    </row>
    <row r="20" spans="2:51" s="15" customFormat="1" ht="12.75" customHeight="1">
      <c r="B20" s="6"/>
      <c r="C20" s="7"/>
      <c r="D20" s="2" t="s">
        <v>322</v>
      </c>
      <c r="E20" s="8"/>
      <c r="F20" s="6"/>
      <c r="G20" s="7"/>
      <c r="H20" s="6"/>
      <c r="I20" s="7"/>
      <c r="J20" s="7"/>
      <c r="K20" s="7"/>
      <c r="L20" s="7"/>
      <c r="M20" s="7"/>
      <c r="N20" s="7"/>
      <c r="O20" s="7"/>
      <c r="P20" s="7"/>
      <c r="Q20" s="7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</row>
    <row r="21" spans="1:17" ht="12.75" customHeight="1">
      <c r="A21" s="9" t="s">
        <v>16</v>
      </c>
      <c r="B21" s="26"/>
      <c r="C21" s="7">
        <v>40638.96</v>
      </c>
      <c r="F21" s="6"/>
      <c r="G21" s="7"/>
      <c r="I21" s="7"/>
      <c r="N21" s="7"/>
      <c r="O21" s="12"/>
      <c r="P21" s="12"/>
      <c r="Q21" s="12"/>
    </row>
    <row r="22" spans="1:17" ht="12.75" customHeight="1">
      <c r="A22" s="9" t="s">
        <v>17</v>
      </c>
      <c r="B22" s="26"/>
      <c r="C22" s="7">
        <v>13433.69</v>
      </c>
      <c r="F22" s="6"/>
      <c r="G22" s="7"/>
      <c r="I22" s="7"/>
      <c r="N22" s="7"/>
      <c r="O22" s="7"/>
      <c r="P22" s="7"/>
      <c r="Q22" s="7"/>
    </row>
    <row r="23" spans="1:17" ht="12.75" customHeight="1">
      <c r="A23" s="9" t="s">
        <v>16</v>
      </c>
      <c r="B23" s="26"/>
      <c r="C23" s="7">
        <v>40638.96</v>
      </c>
      <c r="F23" s="6"/>
      <c r="G23" s="7"/>
      <c r="H23" s="11"/>
      <c r="I23" s="7"/>
      <c r="N23" s="7"/>
      <c r="O23" s="7"/>
      <c r="P23" s="7"/>
      <c r="Q23" s="7"/>
    </row>
    <row r="24" spans="1:17" ht="12.75" customHeight="1">
      <c r="A24" s="9" t="s">
        <v>17</v>
      </c>
      <c r="B24" s="26"/>
      <c r="C24" s="7">
        <v>13433.69</v>
      </c>
      <c r="F24" s="6"/>
      <c r="G24" s="7"/>
      <c r="I24" s="7"/>
      <c r="N24" s="7"/>
      <c r="O24" s="7"/>
      <c r="P24" s="7"/>
      <c r="Q24" s="7"/>
    </row>
    <row r="25" spans="1:17" ht="12.75" customHeight="1">
      <c r="A25" s="9" t="s">
        <v>328</v>
      </c>
      <c r="B25" s="26"/>
      <c r="C25" s="7">
        <v>24600</v>
      </c>
      <c r="F25" s="6"/>
      <c r="G25" s="7"/>
      <c r="I25" s="7"/>
      <c r="N25" s="7"/>
      <c r="O25" s="7"/>
      <c r="P25" s="7"/>
      <c r="Q25" s="7"/>
    </row>
    <row r="26" spans="2:17" ht="12.75" customHeight="1">
      <c r="B26" s="26"/>
      <c r="C26" s="7"/>
      <c r="F26" s="6"/>
      <c r="G26" s="7"/>
      <c r="I26" s="7"/>
      <c r="N26" s="7"/>
      <c r="O26" s="7"/>
      <c r="P26" s="7"/>
      <c r="Q26" s="7"/>
    </row>
    <row r="27" spans="1:17" ht="12.75" customHeight="1">
      <c r="A27" s="9" t="s">
        <v>241</v>
      </c>
      <c r="B27" s="26"/>
      <c r="C27" s="7">
        <v>20494</v>
      </c>
      <c r="D27" s="6">
        <v>1300</v>
      </c>
      <c r="F27" s="6"/>
      <c r="G27" s="7"/>
      <c r="I27" s="7"/>
      <c r="N27" s="7"/>
      <c r="O27" s="7"/>
      <c r="P27" s="7"/>
      <c r="Q27" s="7"/>
    </row>
    <row r="28" spans="1:17" ht="12.75" customHeight="1" thickBot="1">
      <c r="A28" s="9" t="s">
        <v>241</v>
      </c>
      <c r="B28" s="26"/>
      <c r="C28" s="7">
        <v>20494</v>
      </c>
      <c r="D28" s="172">
        <v>1300</v>
      </c>
      <c r="F28" s="6"/>
      <c r="G28" s="7"/>
      <c r="I28" s="7"/>
      <c r="N28" s="7"/>
      <c r="O28" s="7"/>
      <c r="P28" s="7"/>
      <c r="Q28" s="7"/>
    </row>
    <row r="29" spans="1:17" ht="12.75" customHeight="1" thickTop="1">
      <c r="A29" s="173" t="s">
        <v>323</v>
      </c>
      <c r="B29" s="26"/>
      <c r="C29" s="7"/>
      <c r="D29" s="11">
        <f>SUM(D27:D28)</f>
        <v>2600</v>
      </c>
      <c r="F29" s="6"/>
      <c r="G29" s="7"/>
      <c r="I29" s="7"/>
      <c r="N29" s="7"/>
      <c r="O29" s="7"/>
      <c r="P29" s="7"/>
      <c r="Q29" s="7"/>
    </row>
    <row r="30" spans="1:17" ht="12.75" customHeight="1">
      <c r="A30" s="9" t="s">
        <v>236</v>
      </c>
      <c r="B30" s="26"/>
      <c r="C30" s="7">
        <v>11218.04</v>
      </c>
      <c r="F30" s="6"/>
      <c r="G30" s="7"/>
      <c r="I30" s="7"/>
      <c r="N30" s="7"/>
      <c r="O30" s="7"/>
      <c r="P30" s="7"/>
      <c r="Q30" s="7"/>
    </row>
    <row r="31" spans="1:17" ht="12.75" customHeight="1">
      <c r="A31" s="9" t="s">
        <v>237</v>
      </c>
      <c r="B31" s="26"/>
      <c r="C31" s="7">
        <v>7460</v>
      </c>
      <c r="F31" s="6"/>
      <c r="G31" s="7"/>
      <c r="I31" s="7"/>
      <c r="N31" s="7"/>
      <c r="O31" s="7"/>
      <c r="P31" s="7"/>
      <c r="Q31" s="7"/>
    </row>
    <row r="32" spans="2:17" ht="12.75" customHeight="1">
      <c r="B32" s="26"/>
      <c r="C32" s="12">
        <f>SUM(C21:C31)</f>
        <v>192411.34</v>
      </c>
      <c r="F32" s="6"/>
      <c r="G32" s="7"/>
      <c r="I32" s="7"/>
      <c r="N32" s="7"/>
      <c r="O32" s="7"/>
      <c r="P32" s="7"/>
      <c r="Q32" s="7"/>
    </row>
    <row r="33" spans="1:17" ht="39" customHeight="1">
      <c r="A33" s="27" t="s">
        <v>225</v>
      </c>
      <c r="B33" s="26"/>
      <c r="C33" s="7">
        <f>C32-Q19</f>
        <v>52949.17999999999</v>
      </c>
      <c r="F33" s="6"/>
      <c r="G33" s="7"/>
      <c r="I33" s="7"/>
      <c r="N33" s="7"/>
      <c r="O33" s="7"/>
      <c r="P33" s="7"/>
      <c r="Q33" s="7"/>
    </row>
    <row r="34" spans="1:17" s="3" customFormat="1" ht="30" customHeight="1">
      <c r="A34" s="28"/>
      <c r="B34" s="29"/>
      <c r="C34" s="29"/>
      <c r="D34" s="30"/>
      <c r="E34" s="30"/>
      <c r="F34" s="30"/>
      <c r="G34" s="29"/>
      <c r="H34" s="30"/>
      <c r="I34" s="29"/>
      <c r="J34" s="30"/>
      <c r="K34" s="30"/>
      <c r="L34" s="30"/>
      <c r="M34" s="30"/>
      <c r="N34" s="30"/>
      <c r="O34" s="31"/>
      <c r="P34" s="32"/>
      <c r="Q34" s="32"/>
    </row>
    <row r="35" spans="1:17" ht="12.75" customHeight="1">
      <c r="A35" s="33"/>
      <c r="B35" s="34"/>
      <c r="C35" s="35"/>
      <c r="D35" s="35"/>
      <c r="E35" s="35"/>
      <c r="F35" s="35"/>
      <c r="G35" s="35"/>
      <c r="H35" s="35"/>
      <c r="I35" s="36"/>
      <c r="J35" s="36"/>
      <c r="K35" s="36"/>
      <c r="L35" s="36"/>
      <c r="M35" s="36"/>
      <c r="N35" s="36"/>
      <c r="O35" s="37"/>
      <c r="P35" s="7"/>
      <c r="Q35" s="7"/>
    </row>
    <row r="36" spans="1:17" ht="12.75" customHeight="1">
      <c r="A36" s="33"/>
      <c r="B36" s="34"/>
      <c r="C36" s="35"/>
      <c r="D36" s="35"/>
      <c r="E36" s="35"/>
      <c r="F36" s="35"/>
      <c r="G36" s="35"/>
      <c r="H36" s="35"/>
      <c r="I36" s="36"/>
      <c r="J36" s="36"/>
      <c r="K36" s="36"/>
      <c r="L36" s="36"/>
      <c r="M36" s="36"/>
      <c r="N36" s="36"/>
      <c r="O36" s="37"/>
      <c r="P36" s="7"/>
      <c r="Q36" s="7"/>
    </row>
    <row r="37" spans="1:17" ht="12.75" customHeight="1">
      <c r="A37" s="38"/>
      <c r="B37" s="26"/>
      <c r="C37" s="7"/>
      <c r="D37" s="26"/>
      <c r="E37" s="7"/>
      <c r="F37" s="26"/>
      <c r="G37" s="7"/>
      <c r="H37" s="26"/>
      <c r="I37" s="7"/>
      <c r="J37" s="7"/>
      <c r="K37" s="7"/>
      <c r="L37" s="7"/>
      <c r="M37" s="7"/>
      <c r="N37" s="7"/>
      <c r="O37" s="39"/>
      <c r="P37" s="7"/>
      <c r="Q37" s="7"/>
    </row>
    <row r="38" spans="1:17" ht="12.75" customHeight="1">
      <c r="A38" s="40"/>
      <c r="B38" s="41"/>
      <c r="C38" s="41"/>
      <c r="D38" s="42"/>
      <c r="E38" s="41"/>
      <c r="F38" s="42"/>
      <c r="G38" s="43"/>
      <c r="H38" s="42"/>
      <c r="I38" s="43"/>
      <c r="J38" s="41"/>
      <c r="K38" s="41"/>
      <c r="L38" s="41"/>
      <c r="M38" s="41"/>
      <c r="N38" s="43"/>
      <c r="O38" s="44"/>
      <c r="P38" s="18"/>
      <c r="Q38" s="18"/>
    </row>
    <row r="39" spans="1:17" ht="12.75" customHeight="1">
      <c r="A39" s="5"/>
      <c r="F39" s="6"/>
      <c r="G39" s="7"/>
      <c r="N39" s="45"/>
      <c r="O39" s="45"/>
      <c r="P39" s="45"/>
      <c r="Q39" s="45"/>
    </row>
    <row r="40" spans="1:17" ht="12.75" customHeight="1">
      <c r="A40" s="9" t="s">
        <v>155</v>
      </c>
      <c r="F40" s="6"/>
      <c r="G40" s="7"/>
      <c r="N40" s="45"/>
      <c r="O40" s="45"/>
      <c r="P40" s="45"/>
      <c r="Q40" s="45"/>
    </row>
    <row r="41" spans="1:17" ht="12.75" customHeight="1">
      <c r="A41" s="9" t="s">
        <v>149</v>
      </c>
      <c r="F41" s="6"/>
      <c r="G41" s="7"/>
      <c r="N41" s="45"/>
      <c r="O41" s="45"/>
      <c r="P41" s="45"/>
      <c r="Q41" s="45"/>
    </row>
    <row r="42" spans="6:17" ht="12.75" customHeight="1">
      <c r="F42" s="6"/>
      <c r="G42" s="7"/>
      <c r="N42" s="45"/>
      <c r="O42" s="45"/>
      <c r="P42" s="45"/>
      <c r="Q42" s="45"/>
    </row>
    <row r="43" spans="6:17" ht="12.75" customHeight="1">
      <c r="F43" s="6"/>
      <c r="G43" s="7"/>
      <c r="N43" s="45"/>
      <c r="O43" s="45"/>
      <c r="P43" s="45"/>
      <c r="Q43" s="45"/>
    </row>
    <row r="44" spans="6:17" ht="12.75" customHeight="1">
      <c r="F44" s="6"/>
      <c r="G44" s="7"/>
      <c r="N44" s="45"/>
      <c r="O44" s="45"/>
      <c r="P44" s="45"/>
      <c r="Q44" s="45"/>
    </row>
    <row r="45" spans="6:17" ht="10.5" customHeight="1">
      <c r="F45" s="6"/>
      <c r="G45" s="7"/>
      <c r="N45" s="45"/>
      <c r="O45" s="45"/>
      <c r="P45" s="45"/>
      <c r="Q45" s="45"/>
    </row>
    <row r="46" ht="9" customHeight="1">
      <c r="F46" s="6"/>
    </row>
    <row r="47" ht="9" customHeight="1">
      <c r="F47" s="6"/>
    </row>
    <row r="48" ht="9" customHeight="1">
      <c r="F48" s="6"/>
    </row>
    <row r="49" ht="12">
      <c r="F49" s="6"/>
    </row>
    <row r="50" ht="12">
      <c r="F50" s="6"/>
    </row>
    <row r="51" ht="12">
      <c r="F51" s="6"/>
    </row>
    <row r="52" ht="12">
      <c r="F52" s="6"/>
    </row>
    <row r="53" ht="12">
      <c r="F53" s="6"/>
    </row>
    <row r="54" ht="12">
      <c r="F54" s="6"/>
    </row>
    <row r="55" ht="12">
      <c r="F55" s="6"/>
    </row>
    <row r="56" ht="12">
      <c r="F56" s="6"/>
    </row>
    <row r="57" ht="12">
      <c r="F57" s="6"/>
    </row>
    <row r="58" ht="12">
      <c r="F58" s="6"/>
    </row>
    <row r="59" ht="12">
      <c r="F59" s="6"/>
    </row>
    <row r="60" ht="12">
      <c r="F60" s="6"/>
    </row>
    <row r="61" ht="12">
      <c r="F61" s="6"/>
    </row>
    <row r="62" ht="12">
      <c r="F62" s="6"/>
    </row>
    <row r="63" ht="12">
      <c r="F63" s="6"/>
    </row>
    <row r="64" ht="12">
      <c r="F64" s="6"/>
    </row>
    <row r="65" ht="12">
      <c r="F65" s="6"/>
    </row>
    <row r="66" ht="12">
      <c r="F66" s="6"/>
    </row>
    <row r="67" ht="12">
      <c r="F67" s="6"/>
    </row>
    <row r="68" ht="12">
      <c r="F68" s="6"/>
    </row>
    <row r="69" ht="12">
      <c r="F69" s="6"/>
    </row>
    <row r="70" ht="12">
      <c r="F70" s="6"/>
    </row>
    <row r="71" ht="12">
      <c r="F71" s="6"/>
    </row>
    <row r="72" ht="12">
      <c r="F72" s="6"/>
    </row>
  </sheetData>
  <sheetProtection/>
  <printOptions gridLines="1"/>
  <pageMargins left="0.25" right="0.25" top="1" bottom="1" header="0.5" footer="0.5"/>
  <pageSetup fitToHeight="1" fitToWidth="1" horizontalDpi="600" verticalDpi="600" orientation="landscape" paperSize="5" scale="81" r:id="rId1"/>
  <headerFooter alignWithMargins="0">
    <oddHeader>&amp;RCuba Hunter Cost Analysis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view="pageLayout" zoomScaleNormal="125" workbookViewId="0" topLeftCell="A1">
      <selection activeCell="C2" sqref="C2:C9"/>
    </sheetView>
  </sheetViews>
  <sheetFormatPr defaultColWidth="9.140625" defaultRowHeight="12.75"/>
  <cols>
    <col min="1" max="1" width="23.57421875" style="9" customWidth="1"/>
    <col min="2" max="2" width="18.00390625" style="9" customWidth="1"/>
    <col min="3" max="16384" width="9.140625" style="9" customWidth="1"/>
  </cols>
  <sheetData>
    <row r="1" spans="1:3" s="3" customFormat="1" ht="36" customHeight="1" thickBot="1">
      <c r="A1" s="194" t="s">
        <v>314</v>
      </c>
      <c r="B1" s="195"/>
      <c r="C1" s="176"/>
    </row>
    <row r="2" spans="1:3" s="3" customFormat="1" ht="12.75" customHeight="1">
      <c r="A2" s="177" t="s">
        <v>310</v>
      </c>
      <c r="B2" s="18">
        <v>24868</v>
      </c>
      <c r="C2" s="176" t="s">
        <v>322</v>
      </c>
    </row>
    <row r="3" spans="1:3" ht="12.75" customHeight="1">
      <c r="A3" s="177" t="s">
        <v>308</v>
      </c>
      <c r="B3" s="18">
        <v>561</v>
      </c>
      <c r="C3" s="178"/>
    </row>
    <row r="4" spans="1:3" ht="12.75" customHeight="1" thickBot="1">
      <c r="A4" s="177" t="s">
        <v>307</v>
      </c>
      <c r="B4" s="169">
        <v>5707.25</v>
      </c>
      <c r="C4" s="179"/>
    </row>
    <row r="5" spans="1:3" ht="12.75" customHeight="1" thickTop="1">
      <c r="A5" s="180" t="s">
        <v>309</v>
      </c>
      <c r="B5" s="20">
        <f>SUM(B2:B4)</f>
        <v>31136.25</v>
      </c>
      <c r="C5" s="181"/>
    </row>
    <row r="6" spans="1:3" ht="12.75" customHeight="1">
      <c r="A6" s="182"/>
      <c r="B6" s="20"/>
      <c r="C6" s="181"/>
    </row>
    <row r="7" spans="1:3" ht="12.75" customHeight="1">
      <c r="A7" s="183" t="s">
        <v>321</v>
      </c>
      <c r="B7" s="142">
        <v>25432</v>
      </c>
      <c r="C7" s="184">
        <v>1300</v>
      </c>
    </row>
    <row r="8" spans="1:3" ht="12.75" customHeight="1" thickBot="1">
      <c r="A8" s="183" t="s">
        <v>312</v>
      </c>
      <c r="B8" s="167">
        <v>20860</v>
      </c>
      <c r="C8" s="185">
        <v>1300</v>
      </c>
    </row>
    <row r="9" spans="1:3" s="15" customFormat="1" ht="12.75" customHeight="1" thickTop="1">
      <c r="A9" s="186" t="s">
        <v>313</v>
      </c>
      <c r="B9" s="20">
        <f>SUM(B7:B8)</f>
        <v>46292</v>
      </c>
      <c r="C9" s="187">
        <f>SUM(C7:C8)</f>
        <v>2600</v>
      </c>
    </row>
    <row r="10" spans="1:3" ht="12.75" customHeight="1" thickBot="1">
      <c r="A10" s="188"/>
      <c r="B10" s="168"/>
      <c r="C10" s="189"/>
    </row>
    <row r="11" spans="1:3" s="15" customFormat="1" ht="12.75" customHeight="1" thickBot="1" thickTop="1">
      <c r="A11" s="190" t="s">
        <v>146</v>
      </c>
      <c r="B11" s="25">
        <f>SUM(B9,,B5,)</f>
        <v>77428.25</v>
      </c>
      <c r="C11" s="191"/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0.5" customHeight="1"/>
  </sheetData>
  <sheetProtection/>
  <printOptions gridLines="1"/>
  <pageMargins left="0.25" right="0.25" top="1" bottom="1" header="0.5" footer="0.5"/>
  <pageSetup fitToHeight="1" fitToWidth="1" horizontalDpi="600" verticalDpi="600" orientation="landscape" paperSize="5" r:id="rId1"/>
  <headerFooter alignWithMargins="0">
    <oddHeader>&amp;RDinsmore Cost Analysis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view="pageLayout" zoomScaleNormal="125" workbookViewId="0" topLeftCell="A1">
      <selection activeCell="C2" sqref="C2:C9"/>
    </sheetView>
  </sheetViews>
  <sheetFormatPr defaultColWidth="9.140625" defaultRowHeight="12.75"/>
  <cols>
    <col min="1" max="1" width="23.57421875" style="9" customWidth="1"/>
    <col min="2" max="2" width="18.00390625" style="9" customWidth="1"/>
    <col min="3" max="16384" width="9.140625" style="9" customWidth="1"/>
  </cols>
  <sheetData>
    <row r="1" spans="1:3" s="3" customFormat="1" ht="36" customHeight="1" thickBot="1">
      <c r="A1" s="194" t="s">
        <v>314</v>
      </c>
      <c r="B1" s="195"/>
      <c r="C1" s="176"/>
    </row>
    <row r="2" spans="1:3" s="3" customFormat="1" ht="12.75" customHeight="1">
      <c r="A2" s="177" t="s">
        <v>310</v>
      </c>
      <c r="B2" s="18">
        <v>49755</v>
      </c>
      <c r="C2" s="176" t="s">
        <v>322</v>
      </c>
    </row>
    <row r="3" spans="1:3" ht="12.75" customHeight="1">
      <c r="A3" s="177" t="s">
        <v>308</v>
      </c>
      <c r="B3" s="18">
        <v>482</v>
      </c>
      <c r="C3" s="178"/>
    </row>
    <row r="4" spans="1:3" ht="12.75" customHeight="1" thickBot="1">
      <c r="A4" s="177" t="s">
        <v>307</v>
      </c>
      <c r="B4" s="169">
        <v>12110</v>
      </c>
      <c r="C4" s="179"/>
    </row>
    <row r="5" spans="1:3" ht="12.75" customHeight="1" thickTop="1">
      <c r="A5" s="180" t="s">
        <v>309</v>
      </c>
      <c r="B5" s="20">
        <f>SUM(B2:B4)</f>
        <v>62347</v>
      </c>
      <c r="C5" s="181"/>
    </row>
    <row r="6" spans="1:3" ht="12.75" customHeight="1">
      <c r="A6" s="182"/>
      <c r="B6" s="20"/>
      <c r="C6" s="181"/>
    </row>
    <row r="7" spans="1:3" ht="12.75" customHeight="1">
      <c r="A7" s="183" t="s">
        <v>321</v>
      </c>
      <c r="B7" s="142">
        <v>25432</v>
      </c>
      <c r="C7" s="184">
        <v>1300</v>
      </c>
    </row>
    <row r="8" spans="1:3" ht="12.75" customHeight="1" thickBot="1">
      <c r="A8" s="183" t="s">
        <v>312</v>
      </c>
      <c r="B8" s="167">
        <v>20860</v>
      </c>
      <c r="C8" s="185">
        <v>1300</v>
      </c>
    </row>
    <row r="9" spans="1:3" s="15" customFormat="1" ht="12.75" customHeight="1" thickTop="1">
      <c r="A9" s="186" t="s">
        <v>313</v>
      </c>
      <c r="B9" s="20">
        <f>SUM(B7:B8)</f>
        <v>46292</v>
      </c>
      <c r="C9" s="187">
        <f>SUM(C7:C8)</f>
        <v>2600</v>
      </c>
    </row>
    <row r="10" spans="1:3" ht="12.75" customHeight="1" thickBot="1">
      <c r="A10" s="188"/>
      <c r="B10" s="168"/>
      <c r="C10" s="189"/>
    </row>
    <row r="11" spans="1:3" s="15" customFormat="1" ht="12.75" customHeight="1" thickBot="1" thickTop="1">
      <c r="A11" s="190" t="s">
        <v>146</v>
      </c>
      <c r="B11" s="25">
        <f>SUM(B9,,B5,)</f>
        <v>108639</v>
      </c>
      <c r="C11" s="191"/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0.5" customHeight="1"/>
  </sheetData>
  <sheetProtection/>
  <printOptions gridLines="1"/>
  <pageMargins left="0.25" right="0.25" top="1" bottom="1" header="0.5" footer="0.5"/>
  <pageSetup fitToHeight="1" fitToWidth="1" horizontalDpi="600" verticalDpi="600" orientation="landscape" paperSize="5" r:id="rId1"/>
  <headerFooter alignWithMargins="0">
    <oddHeader>&amp;RE.B. Ford Cost Analysis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4"/>
  <sheetViews>
    <sheetView view="pageLayout" zoomScaleNormal="125" workbookViewId="0" topLeftCell="A13">
      <selection activeCell="L27" sqref="L27:L33"/>
    </sheetView>
  </sheetViews>
  <sheetFormatPr defaultColWidth="9.140625" defaultRowHeight="12.75"/>
  <cols>
    <col min="1" max="1" width="22.28125" style="9" customWidth="1"/>
    <col min="2" max="2" width="18.140625" style="9" customWidth="1"/>
    <col min="3" max="3" width="10.421875" style="9" customWidth="1"/>
    <col min="4" max="4" width="10.00390625" style="6" hidden="1" customWidth="1"/>
    <col min="5" max="5" width="10.7109375" style="9" hidden="1" customWidth="1"/>
    <col min="6" max="6" width="18.28125" style="9" customWidth="1"/>
    <col min="7" max="7" width="10.421875" style="9" customWidth="1"/>
    <col min="8" max="8" width="16.28125" style="6" hidden="1" customWidth="1"/>
    <col min="9" max="9" width="0.13671875" style="9" customWidth="1"/>
    <col min="10" max="10" width="8.00390625" style="9" customWidth="1"/>
    <col min="11" max="11" width="8.140625" style="9" customWidth="1"/>
    <col min="12" max="12" width="16.8515625" style="9" customWidth="1"/>
    <col min="13" max="13" width="7.140625" style="9" customWidth="1"/>
    <col min="14" max="14" width="0.71875" style="9" customWidth="1"/>
    <col min="15" max="15" width="10.57421875" style="9" customWidth="1"/>
    <col min="16" max="16" width="7.8515625" style="9" customWidth="1"/>
    <col min="17" max="17" width="7.28125" style="9" customWidth="1"/>
    <col min="18" max="20" width="9.140625" style="9" customWidth="1"/>
    <col min="21" max="21" width="10.00390625" style="9" customWidth="1"/>
    <col min="22" max="16384" width="9.140625" style="9" customWidth="1"/>
  </cols>
  <sheetData>
    <row r="1" spans="1:21" s="3" customFormat="1" ht="36" customHeight="1" thickBot="1">
      <c r="A1" s="1" t="s">
        <v>0</v>
      </c>
      <c r="B1" s="1" t="s">
        <v>279</v>
      </c>
      <c r="C1" s="1" t="s">
        <v>278</v>
      </c>
      <c r="D1" s="1" t="s">
        <v>224</v>
      </c>
      <c r="E1" s="1" t="s">
        <v>223</v>
      </c>
      <c r="F1" s="1" t="s">
        <v>159</v>
      </c>
      <c r="G1" s="1" t="s">
        <v>161</v>
      </c>
      <c r="H1" s="1" t="s">
        <v>27</v>
      </c>
      <c r="I1" s="1" t="s">
        <v>22</v>
      </c>
      <c r="J1" s="1" t="s">
        <v>4</v>
      </c>
      <c r="K1" s="1" t="s">
        <v>23</v>
      </c>
      <c r="L1" s="1" t="s">
        <v>11</v>
      </c>
      <c r="M1" s="1" t="s">
        <v>14</v>
      </c>
      <c r="N1" s="1"/>
      <c r="O1" s="1" t="s">
        <v>151</v>
      </c>
      <c r="P1" s="1" t="s">
        <v>29</v>
      </c>
      <c r="Q1" s="1" t="s">
        <v>3</v>
      </c>
      <c r="R1" s="1" t="s">
        <v>310</v>
      </c>
      <c r="S1" s="1" t="s">
        <v>308</v>
      </c>
      <c r="T1" s="1" t="s">
        <v>307</v>
      </c>
      <c r="U1" s="1" t="s">
        <v>146</v>
      </c>
    </row>
    <row r="2" spans="1:19" s="3" customFormat="1" ht="12.75" customHeight="1">
      <c r="A2" s="4" t="s">
        <v>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8" ht="12.75" customHeight="1">
      <c r="A3" s="9" t="s">
        <v>293</v>
      </c>
      <c r="B3" s="6" t="s">
        <v>326</v>
      </c>
      <c r="C3" s="143">
        <v>7203</v>
      </c>
      <c r="E3" s="8"/>
      <c r="F3" s="6" t="s">
        <v>327</v>
      </c>
      <c r="G3" s="143">
        <v>2081</v>
      </c>
      <c r="I3" s="7"/>
      <c r="J3" s="143">
        <v>4274.16</v>
      </c>
      <c r="K3" s="7"/>
      <c r="L3" s="6"/>
      <c r="M3" s="7"/>
      <c r="N3" s="7"/>
      <c r="O3" s="7">
        <f>SUM(C3,E3,G3,I3,J3,K3,M3,N3)</f>
        <v>13558.16</v>
      </c>
      <c r="P3" s="7"/>
      <c r="Q3" s="7"/>
      <c r="R3" s="7"/>
    </row>
    <row r="4" spans="1:18" ht="12.75" customHeight="1">
      <c r="A4" s="9" t="s">
        <v>293</v>
      </c>
      <c r="B4" s="6"/>
      <c r="C4" s="144"/>
      <c r="E4" s="7"/>
      <c r="F4" s="6" t="s">
        <v>327</v>
      </c>
      <c r="G4" s="143">
        <v>2081</v>
      </c>
      <c r="I4" s="7"/>
      <c r="J4" s="143"/>
      <c r="K4" s="7"/>
      <c r="L4" s="6"/>
      <c r="M4" s="7"/>
      <c r="N4" s="7"/>
      <c r="O4" s="7">
        <f>SUM(C4,E4,G4,I4,J4,K4,M4,N4)</f>
        <v>2081</v>
      </c>
      <c r="P4" s="7"/>
      <c r="Q4" s="7"/>
      <c r="R4" s="7"/>
    </row>
    <row r="5" spans="1:20" ht="12.75" customHeight="1">
      <c r="A5" s="9" t="s">
        <v>280</v>
      </c>
      <c r="B5" s="6" t="s">
        <v>288</v>
      </c>
      <c r="C5" s="143">
        <v>38581.2</v>
      </c>
      <c r="E5" s="7"/>
      <c r="F5" s="6" t="s">
        <v>289</v>
      </c>
      <c r="G5" s="143">
        <v>2982.72</v>
      </c>
      <c r="I5" s="7"/>
      <c r="J5" s="143">
        <v>3785.76</v>
      </c>
      <c r="K5" s="7"/>
      <c r="L5" s="6"/>
      <c r="M5" s="7"/>
      <c r="N5" s="7"/>
      <c r="O5" s="7">
        <f>SUM(C5,E5,G5,I5,J5,K5,M5,N5)</f>
        <v>45349.68</v>
      </c>
      <c r="P5" s="7"/>
      <c r="Q5" s="7"/>
      <c r="R5" s="7"/>
      <c r="S5" s="7"/>
      <c r="T5" s="7"/>
    </row>
    <row r="6" spans="1:21" ht="12.75" customHeight="1">
      <c r="A6" s="9" t="s">
        <v>13</v>
      </c>
      <c r="B6" s="6"/>
      <c r="C6" s="144"/>
      <c r="E6" s="7"/>
      <c r="F6" s="6"/>
      <c r="G6" s="144"/>
      <c r="I6" s="7"/>
      <c r="J6" s="143">
        <v>2463.2</v>
      </c>
      <c r="K6" s="7"/>
      <c r="L6" s="7"/>
      <c r="M6" s="7"/>
      <c r="N6" s="7"/>
      <c r="O6" s="7">
        <f>SUM(C6,E6,G6,I6,J6,K6,M6,N6)</f>
        <v>2463.2</v>
      </c>
      <c r="P6" s="7"/>
      <c r="Q6" s="7"/>
      <c r="R6" s="7"/>
      <c r="U6" s="41" t="s">
        <v>311</v>
      </c>
    </row>
    <row r="7" spans="1:21" ht="12.75" customHeight="1">
      <c r="A7" s="5" t="s">
        <v>31</v>
      </c>
      <c r="B7" s="6"/>
      <c r="C7" s="7">
        <v>0</v>
      </c>
      <c r="E7" s="8"/>
      <c r="F7" s="6"/>
      <c r="G7" s="7"/>
      <c r="I7" s="7"/>
      <c r="J7" s="144">
        <v>413.6</v>
      </c>
      <c r="K7" s="7"/>
      <c r="L7" s="7"/>
      <c r="M7" s="7"/>
      <c r="N7" s="7"/>
      <c r="O7" s="7"/>
      <c r="P7" s="7">
        <f>SUM(B7:O7)</f>
        <v>413.6</v>
      </c>
      <c r="Q7" s="7"/>
      <c r="R7" s="7">
        <v>93305</v>
      </c>
      <c r="S7" s="7">
        <v>470</v>
      </c>
      <c r="T7" s="7">
        <v>86240.59</v>
      </c>
      <c r="U7" s="12">
        <f>SUM(Q8,R7,S7,T7)</f>
        <v>180429.19</v>
      </c>
    </row>
    <row r="8" spans="1:21" ht="12.75" customHeight="1">
      <c r="A8" s="11" t="s">
        <v>147</v>
      </c>
      <c r="B8" s="11"/>
      <c r="C8" s="12">
        <f>SUM(C3:C7)</f>
        <v>45784.2</v>
      </c>
      <c r="D8" s="11"/>
      <c r="E8" s="12">
        <f>SUM(E3:E7)</f>
        <v>0</v>
      </c>
      <c r="F8" s="48"/>
      <c r="G8" s="12">
        <f>SUM(G3:G7)</f>
        <v>7144.719999999999</v>
      </c>
      <c r="H8" s="48"/>
      <c r="I8" s="12">
        <f>SUM(I3:I7)</f>
        <v>0</v>
      </c>
      <c r="J8" s="12">
        <f>SUM(J3:J6)</f>
        <v>10523.119999999999</v>
      </c>
      <c r="K8" s="12"/>
      <c r="L8" s="12"/>
      <c r="M8" s="12">
        <f>SUM(M3:M7)</f>
        <v>0</v>
      </c>
      <c r="N8" s="12"/>
      <c r="O8" s="12">
        <f>SUM(C8,E8,G8,I8,J8,K8,M8,N8)</f>
        <v>63452.03999999999</v>
      </c>
      <c r="P8" s="12">
        <f>SUM(P7)</f>
        <v>413.6</v>
      </c>
      <c r="Q8" s="12">
        <f>SUM(P8)</f>
        <v>413.6</v>
      </c>
      <c r="R8" s="12"/>
      <c r="U8" s="7"/>
    </row>
    <row r="9" spans="1:18" s="15" customFormat="1" ht="12.75" customHeight="1">
      <c r="A9" s="14" t="s">
        <v>148</v>
      </c>
      <c r="B9" s="6"/>
      <c r="C9" s="7"/>
      <c r="D9" s="6"/>
      <c r="E9" s="7"/>
      <c r="F9" s="26"/>
      <c r="G9" s="7"/>
      <c r="H9" s="26"/>
      <c r="I9" s="7"/>
      <c r="J9" s="12"/>
      <c r="K9" s="12"/>
      <c r="L9" s="12"/>
      <c r="M9" s="12"/>
      <c r="N9" s="12"/>
      <c r="O9" s="7"/>
      <c r="P9" s="12"/>
      <c r="Q9" s="12"/>
      <c r="R9" s="12"/>
    </row>
    <row r="10" spans="2:18" ht="12.75" customHeight="1">
      <c r="B10" s="6"/>
      <c r="C10" s="7"/>
      <c r="E10" s="7"/>
      <c r="F10" s="26"/>
      <c r="G10" s="7"/>
      <c r="H10" s="26"/>
      <c r="I10" s="7"/>
      <c r="J10" s="7"/>
      <c r="K10" s="7"/>
      <c r="L10" s="7"/>
      <c r="M10" s="7"/>
      <c r="N10" s="7"/>
      <c r="O10" s="7">
        <f aca="true" t="shared" si="0" ref="O10:O15">SUM(C10,E10,G10,I10,J10,K10,M10,N10)</f>
        <v>0</v>
      </c>
      <c r="P10" s="7"/>
      <c r="Q10" s="7"/>
      <c r="R10" s="7"/>
    </row>
    <row r="11" spans="1:18" s="15" customFormat="1" ht="12.75" customHeight="1">
      <c r="A11" s="9"/>
      <c r="B11" s="6"/>
      <c r="C11" s="7"/>
      <c r="D11" s="6"/>
      <c r="E11" s="7"/>
      <c r="F11" s="26"/>
      <c r="G11" s="7"/>
      <c r="H11" s="26"/>
      <c r="I11" s="7"/>
      <c r="J11" s="7"/>
      <c r="K11" s="12"/>
      <c r="L11" s="12"/>
      <c r="M11" s="12"/>
      <c r="N11" s="12"/>
      <c r="O11" s="7">
        <f t="shared" si="0"/>
        <v>0</v>
      </c>
      <c r="P11" s="12"/>
      <c r="Q11" s="12"/>
      <c r="R11" s="12"/>
    </row>
    <row r="12" spans="1:18" s="15" customFormat="1" ht="12.75" customHeight="1">
      <c r="A12" s="9"/>
      <c r="B12" s="6"/>
      <c r="C12" s="7"/>
      <c r="D12" s="6"/>
      <c r="E12" s="7"/>
      <c r="F12" s="26"/>
      <c r="G12" s="7"/>
      <c r="H12" s="26"/>
      <c r="I12" s="7"/>
      <c r="J12" s="7"/>
      <c r="K12" s="7"/>
      <c r="L12" s="7"/>
      <c r="M12" s="7"/>
      <c r="N12" s="12"/>
      <c r="O12" s="7">
        <f t="shared" si="0"/>
        <v>0</v>
      </c>
      <c r="P12" s="12"/>
      <c r="Q12" s="12"/>
      <c r="R12" s="12"/>
    </row>
    <row r="13" spans="1:18" s="15" customFormat="1" ht="12.75" customHeight="1">
      <c r="A13" s="9" t="s">
        <v>28</v>
      </c>
      <c r="B13" s="6"/>
      <c r="C13" s="7"/>
      <c r="D13" s="6"/>
      <c r="E13" s="7"/>
      <c r="F13" s="26"/>
      <c r="G13" s="7"/>
      <c r="H13" s="26"/>
      <c r="I13" s="7"/>
      <c r="J13" s="7">
        <v>467</v>
      </c>
      <c r="K13" s="7"/>
      <c r="L13" s="7"/>
      <c r="M13" s="7"/>
      <c r="N13" s="12"/>
      <c r="O13" s="7">
        <f t="shared" si="0"/>
        <v>467</v>
      </c>
      <c r="P13" s="12"/>
      <c r="Q13" s="12"/>
      <c r="R13" s="12"/>
    </row>
    <row r="14" spans="1:18" s="15" customFormat="1" ht="12.75" customHeight="1">
      <c r="A14" s="9"/>
      <c r="B14" s="6"/>
      <c r="C14" s="7"/>
      <c r="D14" s="6"/>
      <c r="E14" s="7"/>
      <c r="F14" s="26"/>
      <c r="G14" s="7"/>
      <c r="H14" s="26"/>
      <c r="I14" s="7"/>
      <c r="J14" s="7"/>
      <c r="K14" s="7"/>
      <c r="L14" s="7"/>
      <c r="M14" s="7"/>
      <c r="N14" s="7"/>
      <c r="O14" s="7">
        <f t="shared" si="0"/>
        <v>0</v>
      </c>
      <c r="P14" s="12"/>
      <c r="Q14" s="12"/>
      <c r="R14" s="12"/>
    </row>
    <row r="15" spans="1:17" s="21" customFormat="1" ht="12.75" customHeight="1">
      <c r="A15" s="16" t="s">
        <v>15</v>
      </c>
      <c r="B15" s="17"/>
      <c r="C15" s="18"/>
      <c r="D15" s="17"/>
      <c r="E15" s="18"/>
      <c r="F15" s="47"/>
      <c r="G15" s="18"/>
      <c r="H15" s="47"/>
      <c r="I15" s="18"/>
      <c r="J15" s="18">
        <v>805</v>
      </c>
      <c r="K15" s="18"/>
      <c r="L15" s="18"/>
      <c r="M15" s="18"/>
      <c r="N15" s="18"/>
      <c r="O15" s="7">
        <f t="shared" si="0"/>
        <v>805</v>
      </c>
      <c r="P15" s="20"/>
      <c r="Q15" s="20"/>
    </row>
    <row r="16" spans="1:21" s="21" customFormat="1" ht="12.75" customHeight="1">
      <c r="A16" s="22" t="s">
        <v>147</v>
      </c>
      <c r="B16" s="17"/>
      <c r="C16" s="20">
        <f>SUM(C10:C15)</f>
        <v>0</v>
      </c>
      <c r="D16" s="22"/>
      <c r="E16" s="20">
        <f>SUM(E11:E15)</f>
        <v>0</v>
      </c>
      <c r="F16" s="34"/>
      <c r="G16" s="20">
        <f>SUM(G10:G15)</f>
        <v>0</v>
      </c>
      <c r="H16" s="34"/>
      <c r="I16" s="20">
        <f>SUM(I10:I15)</f>
        <v>0</v>
      </c>
      <c r="J16" s="20">
        <f>SUM(J10:J15)</f>
        <v>1272</v>
      </c>
      <c r="K16" s="20"/>
      <c r="L16" s="20"/>
      <c r="M16" s="20">
        <f>SUM(M10:M15)</f>
        <v>0</v>
      </c>
      <c r="N16" s="20"/>
      <c r="O16" s="12">
        <f>SUM(O10:O15)</f>
        <v>1272</v>
      </c>
      <c r="P16" s="20">
        <f>SUM(P10:P15)</f>
        <v>0</v>
      </c>
      <c r="Q16" s="20"/>
      <c r="R16" s="15"/>
      <c r="S16" s="15"/>
      <c r="T16" s="15"/>
      <c r="U16" s="15"/>
    </row>
    <row r="17" spans="1:21" s="15" customFormat="1" ht="12.75" customHeight="1" thickBot="1">
      <c r="A17" s="24" t="s">
        <v>6</v>
      </c>
      <c r="B17" s="24"/>
      <c r="C17" s="25">
        <f>C8+C16</f>
        <v>45784.2</v>
      </c>
      <c r="D17" s="24"/>
      <c r="E17" s="25">
        <f>E8+E16</f>
        <v>0</v>
      </c>
      <c r="F17" s="24"/>
      <c r="G17" s="25">
        <f>G8+G16</f>
        <v>7144.719999999999</v>
      </c>
      <c r="H17" s="24"/>
      <c r="I17" s="25">
        <f>I8+I16</f>
        <v>0</v>
      </c>
      <c r="J17" s="25">
        <f>J8+J16</f>
        <v>11795.119999999999</v>
      </c>
      <c r="K17" s="25">
        <f>K8+K16</f>
        <v>0</v>
      </c>
      <c r="L17" s="25"/>
      <c r="M17" s="25">
        <f>M8+M16</f>
        <v>0</v>
      </c>
      <c r="N17" s="25"/>
      <c r="O17" s="25">
        <f>SUM(C17,E17,G17,I17,J17,K17,M17,N17)</f>
        <v>64724.03999999999</v>
      </c>
      <c r="P17" s="25">
        <f>P8+P16</f>
        <v>413.6</v>
      </c>
      <c r="Q17" s="25">
        <f>SUM(O17:P17)</f>
        <v>65137.63999999999</v>
      </c>
      <c r="R17" s="25"/>
      <c r="S17" s="160"/>
      <c r="T17" s="160"/>
      <c r="U17" s="25">
        <f>SUM(Q17+R7+S7+T7)</f>
        <v>245153.22999999998</v>
      </c>
    </row>
    <row r="18" spans="1:17" s="15" customFormat="1" ht="12.75" customHeight="1">
      <c r="A18" s="22"/>
      <c r="B18" s="22"/>
      <c r="C18" s="20"/>
      <c r="D18" s="22"/>
      <c r="E18" s="20"/>
      <c r="F18" s="2" t="s">
        <v>322</v>
      </c>
      <c r="G18" s="20"/>
      <c r="H18" s="22"/>
      <c r="I18" s="20"/>
      <c r="J18" s="20"/>
      <c r="K18" s="20"/>
      <c r="L18" s="20"/>
      <c r="M18" s="20"/>
      <c r="N18" s="20"/>
      <c r="O18" s="20"/>
      <c r="P18" s="20"/>
      <c r="Q18" s="20"/>
    </row>
    <row r="19" spans="2:51" s="15" customFormat="1" ht="12.75" customHeight="1">
      <c r="B19" s="6"/>
      <c r="C19" s="7"/>
      <c r="D19" s="6"/>
      <c r="E19" s="8"/>
      <c r="F19" s="6"/>
      <c r="G19" s="7"/>
      <c r="H19" s="6"/>
      <c r="I19" s="7"/>
      <c r="J19" s="7"/>
      <c r="K19" s="7"/>
      <c r="L19" s="7"/>
      <c r="M19" s="7"/>
      <c r="N19" s="7"/>
      <c r="O19" s="7"/>
      <c r="P19" s="7"/>
      <c r="Q19" s="7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</row>
    <row r="20" spans="1:17" ht="12.75" customHeight="1">
      <c r="A20" s="9" t="s">
        <v>16</v>
      </c>
      <c r="B20" s="26"/>
      <c r="C20" s="7">
        <v>42228.48</v>
      </c>
      <c r="F20" s="6"/>
      <c r="G20" s="7"/>
      <c r="I20" s="7"/>
      <c r="N20" s="7"/>
      <c r="O20" s="12"/>
      <c r="P20" s="12"/>
      <c r="Q20" s="12"/>
    </row>
    <row r="21" spans="1:17" ht="12.75" customHeight="1">
      <c r="A21" s="9" t="s">
        <v>17</v>
      </c>
      <c r="B21" s="26"/>
      <c r="C21" s="7">
        <v>13135.78</v>
      </c>
      <c r="F21" s="6"/>
      <c r="G21" s="7"/>
      <c r="I21" s="7"/>
      <c r="N21" s="7"/>
      <c r="O21" s="7"/>
      <c r="P21" s="7"/>
      <c r="Q21" s="7"/>
    </row>
    <row r="22" spans="1:17" ht="12.75" customHeight="1">
      <c r="A22" s="9" t="s">
        <v>16</v>
      </c>
      <c r="B22" s="26"/>
      <c r="C22" s="7">
        <v>42228.48</v>
      </c>
      <c r="F22" s="6"/>
      <c r="G22" s="7"/>
      <c r="H22" s="11"/>
      <c r="I22" s="7"/>
      <c r="N22" s="7"/>
      <c r="O22" s="7"/>
      <c r="P22" s="7"/>
      <c r="Q22" s="7"/>
    </row>
    <row r="23" spans="1:17" ht="12.75" customHeight="1">
      <c r="A23" s="9" t="s">
        <v>17</v>
      </c>
      <c r="B23" s="26"/>
      <c r="C23" s="7">
        <v>13135.78</v>
      </c>
      <c r="F23" s="6"/>
      <c r="G23" s="7"/>
      <c r="I23" s="7"/>
      <c r="N23" s="7"/>
      <c r="O23" s="7"/>
      <c r="P23" s="7"/>
      <c r="Q23" s="7"/>
    </row>
    <row r="24" spans="1:17" ht="12.75" customHeight="1" thickBot="1">
      <c r="A24" s="9" t="s">
        <v>280</v>
      </c>
      <c r="B24" s="26"/>
      <c r="C24" s="18">
        <v>29829.7</v>
      </c>
      <c r="F24" s="172">
        <v>1300</v>
      </c>
      <c r="G24" s="7"/>
      <c r="I24" s="7"/>
      <c r="N24" s="7"/>
      <c r="O24" s="7"/>
      <c r="P24" s="7"/>
      <c r="Q24" s="7"/>
    </row>
    <row r="25" spans="1:17" ht="12.75" customHeight="1" thickTop="1">
      <c r="A25" s="173" t="s">
        <v>323</v>
      </c>
      <c r="B25" s="26"/>
      <c r="C25" s="7"/>
      <c r="F25" s="11">
        <f>SUM(F24)</f>
        <v>1300</v>
      </c>
      <c r="G25" s="7"/>
      <c r="I25" s="7"/>
      <c r="N25" s="7"/>
      <c r="O25" s="7"/>
      <c r="P25" s="7"/>
      <c r="Q25" s="7"/>
    </row>
    <row r="26" spans="1:17" ht="12.75" customHeight="1">
      <c r="A26" s="9" t="s">
        <v>328</v>
      </c>
      <c r="B26" s="26"/>
      <c r="C26" s="144">
        <v>24600</v>
      </c>
      <c r="F26" s="6"/>
      <c r="G26" s="7"/>
      <c r="I26" s="7"/>
      <c r="N26" s="7"/>
      <c r="O26" s="7"/>
      <c r="P26" s="7"/>
      <c r="Q26" s="7"/>
    </row>
    <row r="27" spans="1:17" ht="12.75" customHeight="1">
      <c r="A27" s="9" t="s">
        <v>13</v>
      </c>
      <c r="B27" s="26"/>
      <c r="C27" s="143">
        <v>2463.2</v>
      </c>
      <c r="F27" s="6"/>
      <c r="G27" s="7"/>
      <c r="I27" s="7"/>
      <c r="N27" s="7"/>
      <c r="O27" s="7"/>
      <c r="P27" s="7"/>
      <c r="Q27" s="7"/>
    </row>
    <row r="28" spans="1:17" ht="12.75" customHeight="1">
      <c r="A28" s="9" t="s">
        <v>238</v>
      </c>
      <c r="B28" s="26"/>
      <c r="C28" s="144">
        <v>3912</v>
      </c>
      <c r="F28" s="6"/>
      <c r="G28" s="7"/>
      <c r="I28" s="7"/>
      <c r="N28" s="7"/>
      <c r="O28" s="7"/>
      <c r="P28" s="7"/>
      <c r="Q28" s="7"/>
    </row>
    <row r="29" spans="2:17" ht="12.75" customHeight="1">
      <c r="B29" s="26"/>
      <c r="C29" s="12">
        <f>SUM(C20:C28)</f>
        <v>171533.42</v>
      </c>
      <c r="F29" s="6"/>
      <c r="G29" s="7"/>
      <c r="I29" s="7"/>
      <c r="N29" s="7"/>
      <c r="O29" s="7"/>
      <c r="P29" s="7"/>
      <c r="Q29" s="7"/>
    </row>
    <row r="30" spans="1:17" ht="39" customHeight="1">
      <c r="A30" s="27" t="s">
        <v>150</v>
      </c>
      <c r="B30" s="26"/>
      <c r="C30" s="7">
        <f>C29-(Q17)</f>
        <v>106395.78000000003</v>
      </c>
      <c r="F30" s="6"/>
      <c r="G30" s="7"/>
      <c r="I30" s="7"/>
      <c r="N30" s="7"/>
      <c r="O30" s="7"/>
      <c r="P30" s="7"/>
      <c r="Q30" s="7"/>
    </row>
    <row r="31" spans="1:17" ht="12.75" customHeight="1">
      <c r="A31" s="5"/>
      <c r="F31" s="6"/>
      <c r="G31" s="7"/>
      <c r="N31" s="45"/>
      <c r="O31" s="45"/>
      <c r="P31" s="45"/>
      <c r="Q31" s="45"/>
    </row>
    <row r="32" spans="1:17" ht="12.75" customHeight="1">
      <c r="A32" s="9" t="s">
        <v>155</v>
      </c>
      <c r="F32" s="6"/>
      <c r="G32" s="7"/>
      <c r="N32" s="45"/>
      <c r="O32" s="45"/>
      <c r="P32" s="45"/>
      <c r="Q32" s="45"/>
    </row>
    <row r="33" spans="1:17" ht="12.75" customHeight="1">
      <c r="A33" s="9" t="s">
        <v>149</v>
      </c>
      <c r="F33" s="6"/>
      <c r="G33" s="7"/>
      <c r="N33" s="45"/>
      <c r="O33" s="45"/>
      <c r="P33" s="45"/>
      <c r="Q33" s="45"/>
    </row>
    <row r="34" spans="6:17" ht="12.75" customHeight="1">
      <c r="F34" s="6"/>
      <c r="G34" s="7"/>
      <c r="N34" s="45"/>
      <c r="O34" s="45"/>
      <c r="P34" s="45"/>
      <c r="Q34" s="45"/>
    </row>
    <row r="35" spans="6:17" ht="12.75" customHeight="1">
      <c r="F35" s="6"/>
      <c r="G35" s="7"/>
      <c r="N35" s="45"/>
      <c r="O35" s="45"/>
      <c r="P35" s="45"/>
      <c r="Q35" s="45"/>
    </row>
    <row r="36" spans="6:17" ht="12.75" customHeight="1">
      <c r="F36" s="6"/>
      <c r="G36" s="7"/>
      <c r="N36" s="45"/>
      <c r="O36" s="45"/>
      <c r="P36" s="45"/>
      <c r="Q36" s="45"/>
    </row>
    <row r="37" spans="6:17" ht="12.75" customHeight="1">
      <c r="F37" s="6"/>
      <c r="G37" s="7"/>
      <c r="N37" s="45"/>
      <c r="O37" s="45"/>
      <c r="P37" s="45"/>
      <c r="Q37" s="45"/>
    </row>
    <row r="38" ht="10.5" customHeight="1">
      <c r="F38" s="6"/>
    </row>
    <row r="39" ht="10.5" customHeight="1">
      <c r="F39" s="6"/>
    </row>
    <row r="40" ht="10.5" customHeight="1">
      <c r="F40" s="6"/>
    </row>
    <row r="41" ht="12">
      <c r="F41" s="6"/>
    </row>
    <row r="42" ht="12">
      <c r="F42" s="6"/>
    </row>
    <row r="43" ht="12">
      <c r="F43" s="6"/>
    </row>
    <row r="44" ht="12">
      <c r="F44" s="6"/>
    </row>
    <row r="45" ht="12">
      <c r="F45" s="6"/>
    </row>
    <row r="46" ht="12">
      <c r="F46" s="6"/>
    </row>
    <row r="47" ht="12">
      <c r="F47" s="6"/>
    </row>
    <row r="48" ht="12">
      <c r="F48" s="6"/>
    </row>
    <row r="49" ht="12">
      <c r="F49" s="6"/>
    </row>
    <row r="50" ht="12">
      <c r="F50" s="6"/>
    </row>
    <row r="51" ht="12">
      <c r="F51" s="6"/>
    </row>
    <row r="52" ht="12">
      <c r="F52" s="6"/>
    </row>
    <row r="53" ht="12">
      <c r="F53" s="6"/>
    </row>
    <row r="54" ht="12">
      <c r="F54" s="6"/>
    </row>
    <row r="55" ht="12">
      <c r="F55" s="6"/>
    </row>
    <row r="56" ht="12">
      <c r="F56" s="6"/>
    </row>
    <row r="57" ht="12">
      <c r="F57" s="6"/>
    </row>
    <row r="58" ht="12">
      <c r="F58" s="6"/>
    </row>
    <row r="59" ht="12">
      <c r="F59" s="6"/>
    </row>
    <row r="60" ht="12">
      <c r="F60" s="6"/>
    </row>
    <row r="61" ht="12">
      <c r="F61" s="6"/>
    </row>
    <row r="62" ht="12">
      <c r="F62" s="6"/>
    </row>
    <row r="63" ht="12">
      <c r="F63" s="6"/>
    </row>
    <row r="64" ht="12">
      <c r="F64" s="6"/>
    </row>
  </sheetData>
  <sheetProtection/>
  <printOptions gridLines="1"/>
  <pageMargins left="0.25" right="0.25" top="1" bottom="1" header="0.5" footer="0.5"/>
  <pageSetup fitToHeight="1" fitToWidth="1" horizontalDpi="600" verticalDpi="600" orientation="landscape" paperSize="5" scale="95" r:id="rId1"/>
  <headerFooter alignWithMargins="0">
    <oddHeader>&amp;REmmett Reed Cost Analysis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8"/>
  <sheetViews>
    <sheetView view="pageLayout" zoomScaleNormal="125" workbookViewId="0" topLeftCell="A4">
      <selection activeCell="H24" sqref="H24"/>
    </sheetView>
  </sheetViews>
  <sheetFormatPr defaultColWidth="9.140625" defaultRowHeight="12.75"/>
  <cols>
    <col min="1" max="1" width="22.28125" style="9" customWidth="1"/>
    <col min="2" max="2" width="15.28125" style="9" customWidth="1"/>
    <col min="3" max="3" width="7.00390625" style="9" customWidth="1"/>
    <col min="4" max="4" width="0.85546875" style="6" hidden="1" customWidth="1"/>
    <col min="5" max="5" width="15.28125" style="9" hidden="1" customWidth="1"/>
    <col min="6" max="6" width="20.00390625" style="9" customWidth="1"/>
    <col min="7" max="7" width="7.7109375" style="9" customWidth="1"/>
    <col min="8" max="8" width="7.421875" style="6" customWidth="1"/>
    <col min="9" max="9" width="7.140625" style="9" customWidth="1"/>
    <col min="10" max="10" width="7.7109375" style="9" customWidth="1"/>
    <col min="11" max="11" width="7.8515625" style="9" customWidth="1"/>
    <col min="12" max="12" width="8.8515625" style="9" customWidth="1"/>
    <col min="13" max="13" width="6.57421875" style="9" customWidth="1"/>
    <col min="14" max="14" width="1.57421875" style="9" customWidth="1"/>
    <col min="15" max="15" width="7.28125" style="9" customWidth="1"/>
    <col min="16" max="16" width="7.140625" style="9" customWidth="1"/>
    <col min="17" max="17" width="7.57421875" style="9" customWidth="1"/>
    <col min="18" max="20" width="9.140625" style="9" customWidth="1"/>
    <col min="21" max="21" width="10.28125" style="9" customWidth="1"/>
    <col min="22" max="16384" width="9.140625" style="9" customWidth="1"/>
  </cols>
  <sheetData>
    <row r="1" spans="1:21" s="3" customFormat="1" ht="36" customHeight="1" thickBot="1">
      <c r="A1" s="1" t="s">
        <v>0</v>
      </c>
      <c r="B1" s="1" t="s">
        <v>277</v>
      </c>
      <c r="C1" s="1" t="s">
        <v>278</v>
      </c>
      <c r="D1" s="1" t="s">
        <v>224</v>
      </c>
      <c r="E1" s="1" t="s">
        <v>223</v>
      </c>
      <c r="F1" s="1" t="s">
        <v>1</v>
      </c>
      <c r="G1" s="1" t="s">
        <v>5</v>
      </c>
      <c r="H1" s="1" t="s">
        <v>27</v>
      </c>
      <c r="I1" s="1" t="s">
        <v>22</v>
      </c>
      <c r="J1" s="1" t="s">
        <v>4</v>
      </c>
      <c r="K1" s="1" t="s">
        <v>23</v>
      </c>
      <c r="L1" s="1" t="s">
        <v>11</v>
      </c>
      <c r="M1" s="1" t="s">
        <v>14</v>
      </c>
      <c r="N1" s="1"/>
      <c r="O1" s="1" t="s">
        <v>151</v>
      </c>
      <c r="P1" s="1" t="s">
        <v>29</v>
      </c>
      <c r="Q1" s="1" t="s">
        <v>3</v>
      </c>
      <c r="R1" s="1" t="s">
        <v>310</v>
      </c>
      <c r="S1" s="1" t="s">
        <v>308</v>
      </c>
      <c r="T1" s="1" t="s">
        <v>307</v>
      </c>
      <c r="U1" s="1" t="s">
        <v>146</v>
      </c>
    </row>
    <row r="2" spans="1:19" s="3" customFormat="1" ht="12.75" customHeight="1">
      <c r="A2" s="4" t="s">
        <v>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8" ht="12.75" customHeight="1">
      <c r="A3" s="9" t="s">
        <v>162</v>
      </c>
      <c r="B3" s="6"/>
      <c r="C3" s="7"/>
      <c r="E3" s="8"/>
      <c r="F3" s="6" t="s">
        <v>163</v>
      </c>
      <c r="G3" s="7">
        <f>4*10.15*248</f>
        <v>10068.800000000001</v>
      </c>
      <c r="I3" s="7"/>
      <c r="J3" s="7"/>
      <c r="K3" s="7"/>
      <c r="L3" s="7"/>
      <c r="M3" s="7"/>
      <c r="N3" s="7"/>
      <c r="O3" s="7">
        <f>SUM(C3,E3,G3,I3,J3,K3,M3,N3)</f>
        <v>10068.800000000001</v>
      </c>
      <c r="P3" s="7"/>
      <c r="Q3" s="7"/>
      <c r="R3" s="7"/>
    </row>
    <row r="4" spans="1:18" ht="12.75" customHeight="1">
      <c r="A4" s="9" t="s">
        <v>162</v>
      </c>
      <c r="B4" s="6"/>
      <c r="C4" s="7"/>
      <c r="E4" s="8"/>
      <c r="F4" s="6" t="s">
        <v>163</v>
      </c>
      <c r="G4" s="7">
        <f>4*10.15*248</f>
        <v>10068.800000000001</v>
      </c>
      <c r="I4" s="7"/>
      <c r="J4" s="7"/>
      <c r="K4" s="7"/>
      <c r="L4" s="6"/>
      <c r="M4" s="10"/>
      <c r="N4" s="7"/>
      <c r="O4" s="7">
        <f>SUM(C4,E4,G4,I4,J4,K4,M4,N4)</f>
        <v>10068.800000000001</v>
      </c>
      <c r="P4" s="7"/>
      <c r="Q4" s="7"/>
      <c r="R4" s="7"/>
    </row>
    <row r="5" spans="1:21" ht="12.75" customHeight="1">
      <c r="A5" s="9" t="s">
        <v>13</v>
      </c>
      <c r="B5" s="6"/>
      <c r="C5" s="7"/>
      <c r="E5" s="7"/>
      <c r="F5" s="6"/>
      <c r="G5" s="7"/>
      <c r="I5" s="7"/>
      <c r="J5" s="7"/>
      <c r="K5" s="7"/>
      <c r="L5" s="7"/>
      <c r="M5" s="7"/>
      <c r="N5" s="7"/>
      <c r="O5" s="7">
        <f aca="true" t="shared" si="0" ref="O5:O16">SUM(C5,E5,G5,I5,J5,K5,M5,N5)</f>
        <v>0</v>
      </c>
      <c r="P5" s="7"/>
      <c r="Q5" s="7"/>
      <c r="R5" s="7"/>
      <c r="S5" s="7"/>
      <c r="T5" s="7"/>
      <c r="U5" s="41" t="s">
        <v>311</v>
      </c>
    </row>
    <row r="6" spans="1:21" ht="12.75" customHeight="1">
      <c r="A6" s="5" t="s">
        <v>31</v>
      </c>
      <c r="B6" s="6"/>
      <c r="C6" s="7"/>
      <c r="E6" s="8"/>
      <c r="F6" s="6"/>
      <c r="G6" s="7"/>
      <c r="I6" s="7"/>
      <c r="J6" s="7"/>
      <c r="K6" s="7"/>
      <c r="L6" s="7"/>
      <c r="M6" s="7"/>
      <c r="N6" s="7"/>
      <c r="O6" s="7"/>
      <c r="P6" s="7">
        <f>SUM(B6:O6)</f>
        <v>0</v>
      </c>
      <c r="Q6" s="7"/>
      <c r="R6" s="7">
        <v>17108</v>
      </c>
      <c r="S6" s="7">
        <v>396</v>
      </c>
      <c r="T6" s="7">
        <v>1782</v>
      </c>
      <c r="U6" s="12">
        <f>SUM(Q7,R6,S6,T6)</f>
        <v>19286</v>
      </c>
    </row>
    <row r="7" spans="1:18" ht="12.75" customHeight="1">
      <c r="A7" s="11" t="s">
        <v>147</v>
      </c>
      <c r="B7" s="11"/>
      <c r="C7" s="12">
        <f>SUM(C3:C6)</f>
        <v>0</v>
      </c>
      <c r="D7" s="11"/>
      <c r="E7" s="12">
        <f>SUM(E3:E6)</f>
        <v>0</v>
      </c>
      <c r="F7" s="48"/>
      <c r="G7" s="12">
        <f>SUM(G3:G6)</f>
        <v>20137.600000000002</v>
      </c>
      <c r="H7" s="11"/>
      <c r="I7" s="12">
        <f>SUM(I3:I6)</f>
        <v>0</v>
      </c>
      <c r="J7" s="12">
        <f>SUM(J3:J6)</f>
        <v>0</v>
      </c>
      <c r="K7" s="12">
        <f>SUM(K3:K6)</f>
        <v>0</v>
      </c>
      <c r="L7" s="12"/>
      <c r="M7" s="12">
        <f>SUM(M3:M6)</f>
        <v>0</v>
      </c>
      <c r="N7" s="12"/>
      <c r="O7" s="12">
        <f t="shared" si="0"/>
        <v>20137.600000000002</v>
      </c>
      <c r="P7" s="12">
        <f>SUM(P6)</f>
        <v>0</v>
      </c>
      <c r="Q7" s="12">
        <f>SUM(P7)</f>
        <v>0</v>
      </c>
      <c r="R7" s="7"/>
    </row>
    <row r="8" spans="1:21" s="15" customFormat="1" ht="12.75" customHeight="1">
      <c r="A8" s="14" t="s">
        <v>148</v>
      </c>
      <c r="B8" s="6"/>
      <c r="C8" s="7"/>
      <c r="D8" s="6"/>
      <c r="E8" s="7"/>
      <c r="F8" s="26"/>
      <c r="G8" s="7"/>
      <c r="H8" s="6"/>
      <c r="I8" s="7"/>
      <c r="J8" s="12"/>
      <c r="K8" s="12"/>
      <c r="L8" s="12"/>
      <c r="M8" s="12"/>
      <c r="N8" s="12"/>
      <c r="O8" s="7"/>
      <c r="P8" s="12"/>
      <c r="Q8" s="12"/>
      <c r="R8" s="12"/>
      <c r="S8" s="9"/>
      <c r="T8" s="9"/>
      <c r="U8" s="7"/>
    </row>
    <row r="9" spans="2:21" ht="12.75" customHeight="1">
      <c r="B9" s="6"/>
      <c r="C9" s="7"/>
      <c r="E9" s="7"/>
      <c r="F9" s="26"/>
      <c r="G9" s="7"/>
      <c r="I9" s="7"/>
      <c r="J9" s="7"/>
      <c r="K9" s="7"/>
      <c r="L9" s="7"/>
      <c r="M9" s="7"/>
      <c r="N9" s="7"/>
      <c r="O9" s="7">
        <f t="shared" si="0"/>
        <v>0</v>
      </c>
      <c r="P9" s="7"/>
      <c r="Q9" s="7"/>
      <c r="R9" s="12"/>
      <c r="S9" s="15"/>
      <c r="T9" s="15"/>
      <c r="U9" s="15"/>
    </row>
    <row r="10" spans="1:21" s="15" customFormat="1" ht="12.75" customHeight="1">
      <c r="A10" s="9"/>
      <c r="B10" s="6"/>
      <c r="C10" s="7"/>
      <c r="D10" s="6"/>
      <c r="E10" s="7"/>
      <c r="F10" s="26"/>
      <c r="G10" s="7"/>
      <c r="H10" s="6"/>
      <c r="I10" s="7"/>
      <c r="J10" s="7"/>
      <c r="K10" s="12"/>
      <c r="L10" s="12"/>
      <c r="M10" s="12"/>
      <c r="N10" s="12"/>
      <c r="O10" s="7">
        <f t="shared" si="0"/>
        <v>0</v>
      </c>
      <c r="P10" s="12"/>
      <c r="Q10" s="12"/>
      <c r="R10" s="7"/>
      <c r="S10" s="9"/>
      <c r="T10" s="9"/>
      <c r="U10" s="9"/>
    </row>
    <row r="11" spans="1:18" s="15" customFormat="1" ht="12.75" customHeight="1">
      <c r="A11" s="9"/>
      <c r="B11" s="6"/>
      <c r="C11" s="7"/>
      <c r="D11" s="6"/>
      <c r="E11" s="7"/>
      <c r="F11" s="26"/>
      <c r="G11" s="7"/>
      <c r="H11" s="6"/>
      <c r="I11" s="7"/>
      <c r="J11" s="7"/>
      <c r="K11" s="7"/>
      <c r="L11" s="7"/>
      <c r="M11" s="7"/>
      <c r="N11" s="12"/>
      <c r="O11" s="7">
        <f t="shared" si="0"/>
        <v>0</v>
      </c>
      <c r="P11" s="12"/>
      <c r="Q11" s="12"/>
      <c r="R11" s="12"/>
    </row>
    <row r="12" spans="1:18" s="15" customFormat="1" ht="12.75" customHeight="1">
      <c r="A12" s="9"/>
      <c r="B12" s="6"/>
      <c r="C12" s="7"/>
      <c r="D12" s="6"/>
      <c r="E12" s="7"/>
      <c r="F12" s="26"/>
      <c r="G12" s="7"/>
      <c r="H12" s="6"/>
      <c r="I12" s="7"/>
      <c r="J12" s="7"/>
      <c r="K12" s="7"/>
      <c r="L12" s="7"/>
      <c r="M12" s="7"/>
      <c r="N12" s="12"/>
      <c r="O12" s="7">
        <f t="shared" si="0"/>
        <v>0</v>
      </c>
      <c r="P12" s="12"/>
      <c r="Q12" s="12"/>
      <c r="R12" s="12"/>
    </row>
    <row r="13" spans="1:18" s="15" customFormat="1" ht="12.75" customHeight="1">
      <c r="A13" s="9"/>
      <c r="B13" s="6"/>
      <c r="C13" s="7"/>
      <c r="D13" s="6"/>
      <c r="E13" s="7"/>
      <c r="F13" s="26"/>
      <c r="G13" s="7"/>
      <c r="H13" s="6"/>
      <c r="I13" s="7"/>
      <c r="J13" s="7"/>
      <c r="K13" s="7"/>
      <c r="L13" s="7"/>
      <c r="M13" s="7"/>
      <c r="N13" s="7"/>
      <c r="O13" s="7">
        <f t="shared" si="0"/>
        <v>0</v>
      </c>
      <c r="P13" s="12"/>
      <c r="Q13" s="12"/>
      <c r="R13" s="12"/>
    </row>
    <row r="14" spans="1:21" s="21" customFormat="1" ht="12.75" customHeight="1">
      <c r="A14" s="16"/>
      <c r="B14" s="17"/>
      <c r="C14" s="18"/>
      <c r="D14" s="17"/>
      <c r="E14" s="18"/>
      <c r="F14" s="47"/>
      <c r="G14" s="18"/>
      <c r="H14" s="17"/>
      <c r="I14" s="18"/>
      <c r="J14" s="18"/>
      <c r="K14" s="18"/>
      <c r="L14" s="18"/>
      <c r="M14" s="18"/>
      <c r="N14" s="18"/>
      <c r="O14" s="7">
        <f t="shared" si="0"/>
        <v>0</v>
      </c>
      <c r="P14" s="20"/>
      <c r="Q14" s="20"/>
      <c r="R14" s="12"/>
      <c r="S14" s="15"/>
      <c r="T14" s="15"/>
      <c r="U14" s="15"/>
    </row>
    <row r="15" spans="1:17" s="21" customFormat="1" ht="12.75" customHeight="1">
      <c r="A15" s="22" t="s">
        <v>147</v>
      </c>
      <c r="B15" s="17"/>
      <c r="C15" s="20">
        <f>SUM(C9:C14)</f>
        <v>0</v>
      </c>
      <c r="D15" s="22"/>
      <c r="E15" s="20">
        <f>SUM(E10:E14)</f>
        <v>0</v>
      </c>
      <c r="F15" s="34"/>
      <c r="G15" s="20">
        <f>SUM(G9:G14)</f>
        <v>0</v>
      </c>
      <c r="H15" s="22"/>
      <c r="I15" s="20">
        <f>SUM(I9:I14)</f>
        <v>0</v>
      </c>
      <c r="J15" s="20">
        <f>SUM(J9:J14)</f>
        <v>0</v>
      </c>
      <c r="K15" s="20">
        <f>SUM(K9:K14)</f>
        <v>0</v>
      </c>
      <c r="L15" s="20"/>
      <c r="M15" s="20">
        <f>SUM(M9:M14)</f>
        <v>0</v>
      </c>
      <c r="N15" s="20"/>
      <c r="O15" s="12">
        <f>SUM(O9:O14)</f>
        <v>0</v>
      </c>
      <c r="P15" s="20"/>
      <c r="Q15" s="20"/>
    </row>
    <row r="16" spans="1:21" s="15" customFormat="1" ht="12.75" customHeight="1" thickBot="1">
      <c r="A16" s="24" t="s">
        <v>6</v>
      </c>
      <c r="B16" s="24"/>
      <c r="C16" s="25">
        <f>C7+C15</f>
        <v>0</v>
      </c>
      <c r="D16" s="24"/>
      <c r="E16" s="25">
        <f>E7+E15</f>
        <v>0</v>
      </c>
      <c r="F16" s="49"/>
      <c r="G16" s="25">
        <f>G7+G15</f>
        <v>20137.600000000002</v>
      </c>
      <c r="H16" s="24"/>
      <c r="I16" s="25">
        <f>I7+I15</f>
        <v>0</v>
      </c>
      <c r="J16" s="25">
        <f>J7+J15</f>
        <v>0</v>
      </c>
      <c r="K16" s="25">
        <f>K7+K15</f>
        <v>0</v>
      </c>
      <c r="L16" s="25"/>
      <c r="M16" s="25">
        <f>M7+M15</f>
        <v>0</v>
      </c>
      <c r="N16" s="25"/>
      <c r="O16" s="25">
        <f t="shared" si="0"/>
        <v>20137.600000000002</v>
      </c>
      <c r="P16" s="25">
        <f>P7</f>
        <v>0</v>
      </c>
      <c r="Q16" s="25">
        <f>SUM(O16:P16)</f>
        <v>20137.600000000002</v>
      </c>
      <c r="R16" s="25"/>
      <c r="S16" s="160"/>
      <c r="T16" s="160"/>
      <c r="U16" s="25">
        <f>SUM(Q16+R6+S6+T6)</f>
        <v>39423.600000000006</v>
      </c>
    </row>
    <row r="17" spans="2:51" s="15" customFormat="1" ht="12.75" customHeight="1">
      <c r="B17" s="6"/>
      <c r="C17" s="7"/>
      <c r="D17" s="6"/>
      <c r="E17" s="8"/>
      <c r="F17" s="6" t="s">
        <v>322</v>
      </c>
      <c r="G17" s="7"/>
      <c r="H17" s="6"/>
      <c r="I17" s="7"/>
      <c r="J17" s="7"/>
      <c r="K17" s="7"/>
      <c r="L17" s="7"/>
      <c r="M17" s="7"/>
      <c r="N17" s="7"/>
      <c r="O17" s="7"/>
      <c r="P17" s="7"/>
      <c r="Q17" s="7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</row>
    <row r="18" spans="1:17" ht="12.75" customHeight="1">
      <c r="A18" s="9" t="s">
        <v>239</v>
      </c>
      <c r="B18" s="26"/>
      <c r="C18" s="7">
        <v>13195</v>
      </c>
      <c r="F18" s="6">
        <v>1300</v>
      </c>
      <c r="G18" s="7"/>
      <c r="I18" s="7"/>
      <c r="N18" s="7"/>
      <c r="O18" s="12"/>
      <c r="P18" s="12"/>
      <c r="Q18" s="12"/>
    </row>
    <row r="19" spans="1:17" ht="12.75" customHeight="1" thickBot="1">
      <c r="A19" s="9" t="s">
        <v>239</v>
      </c>
      <c r="B19" s="26"/>
      <c r="C19" s="7">
        <v>13195</v>
      </c>
      <c r="F19" s="172">
        <v>1300</v>
      </c>
      <c r="G19" s="7"/>
      <c r="H19" s="11"/>
      <c r="I19" s="7"/>
      <c r="N19" s="7"/>
      <c r="O19" s="7"/>
      <c r="P19" s="7"/>
      <c r="Q19" s="7"/>
    </row>
    <row r="20" spans="1:17" ht="12.75" customHeight="1" thickTop="1">
      <c r="A20" s="173" t="s">
        <v>323</v>
      </c>
      <c r="B20" s="26"/>
      <c r="C20" s="7"/>
      <c r="F20" s="6">
        <f>SUM(F18:F19)</f>
        <v>2600</v>
      </c>
      <c r="G20" s="7"/>
      <c r="I20" s="7"/>
      <c r="N20" s="7"/>
      <c r="O20" s="7"/>
      <c r="P20" s="7"/>
      <c r="Q20" s="7"/>
    </row>
    <row r="21" spans="2:17" ht="12.75" customHeight="1">
      <c r="B21" s="26"/>
      <c r="C21" s="7"/>
      <c r="F21" s="6"/>
      <c r="G21" s="7"/>
      <c r="I21" s="7"/>
      <c r="N21" s="7"/>
      <c r="O21" s="7"/>
      <c r="P21" s="7"/>
      <c r="Q21" s="7"/>
    </row>
    <row r="22" spans="2:17" ht="12.75" customHeight="1">
      <c r="B22" s="26"/>
      <c r="C22" s="7"/>
      <c r="F22" s="6"/>
      <c r="G22" s="7"/>
      <c r="I22" s="7"/>
      <c r="N22" s="7"/>
      <c r="O22" s="7"/>
      <c r="P22" s="7"/>
      <c r="Q22" s="7"/>
    </row>
    <row r="23" spans="2:17" ht="12.75" customHeight="1">
      <c r="B23" s="26"/>
      <c r="C23" s="12">
        <f>SUM(C18:C22)</f>
        <v>26390</v>
      </c>
      <c r="F23" s="6"/>
      <c r="G23" s="7"/>
      <c r="I23" s="7"/>
      <c r="N23" s="7"/>
      <c r="O23" s="7"/>
      <c r="P23" s="7"/>
      <c r="Q23" s="7"/>
    </row>
    <row r="24" spans="1:17" ht="39" customHeight="1">
      <c r="A24" s="27" t="s">
        <v>225</v>
      </c>
      <c r="B24" s="26"/>
      <c r="C24" s="7">
        <f>C23-Q16</f>
        <v>6252.399999999998</v>
      </c>
      <c r="F24" s="6"/>
      <c r="G24" s="7"/>
      <c r="I24" s="7"/>
      <c r="N24" s="7"/>
      <c r="O24" s="7"/>
      <c r="P24" s="7"/>
      <c r="Q24" s="7"/>
    </row>
    <row r="25" spans="1:17" ht="12.75" customHeight="1">
      <c r="A25" s="5"/>
      <c r="F25" s="6"/>
      <c r="G25" s="7"/>
      <c r="N25" s="45"/>
      <c r="O25" s="45"/>
      <c r="P25" s="45"/>
      <c r="Q25" s="45"/>
    </row>
    <row r="26" spans="1:17" ht="12.75" customHeight="1">
      <c r="A26" s="9" t="s">
        <v>155</v>
      </c>
      <c r="F26" s="6"/>
      <c r="G26" s="7"/>
      <c r="N26" s="45"/>
      <c r="O26" s="45"/>
      <c r="P26" s="45"/>
      <c r="Q26" s="45"/>
    </row>
    <row r="27" spans="1:17" ht="12.75" customHeight="1">
      <c r="A27" s="9" t="s">
        <v>149</v>
      </c>
      <c r="F27" s="6"/>
      <c r="G27" s="7"/>
      <c r="N27" s="45"/>
      <c r="O27" s="45"/>
      <c r="P27" s="45"/>
      <c r="Q27" s="45"/>
    </row>
    <row r="28" spans="6:17" ht="12.75" customHeight="1">
      <c r="F28" s="6"/>
      <c r="G28" s="7"/>
      <c r="N28" s="45"/>
      <c r="O28" s="45"/>
      <c r="P28" s="45"/>
      <c r="Q28" s="45"/>
    </row>
    <row r="29" spans="6:17" ht="12.75" customHeight="1">
      <c r="F29" s="6"/>
      <c r="G29" s="7"/>
      <c r="N29" s="45"/>
      <c r="O29" s="45"/>
      <c r="P29" s="45"/>
      <c r="Q29" s="45"/>
    </row>
    <row r="30" spans="6:17" ht="12.75" customHeight="1">
      <c r="F30" s="6"/>
      <c r="G30" s="7"/>
      <c r="N30" s="45"/>
      <c r="O30" s="45"/>
      <c r="P30" s="45"/>
      <c r="Q30" s="45"/>
    </row>
    <row r="31" spans="6:17" ht="12.75" customHeight="1">
      <c r="F31" s="6"/>
      <c r="G31" s="7"/>
      <c r="N31" s="45"/>
      <c r="O31" s="45"/>
      <c r="P31" s="45"/>
      <c r="Q31" s="45"/>
    </row>
    <row r="32" ht="10.5" customHeight="1">
      <c r="F32" s="6"/>
    </row>
    <row r="33" ht="10.5" customHeight="1">
      <c r="F33" s="6"/>
    </row>
    <row r="34" ht="10.5" customHeight="1">
      <c r="F34" s="6"/>
    </row>
    <row r="35" ht="10.5" customHeight="1">
      <c r="F35" s="6"/>
    </row>
    <row r="36" ht="10.5" customHeight="1">
      <c r="F36" s="6"/>
    </row>
    <row r="37" ht="12">
      <c r="F37" s="6"/>
    </row>
    <row r="38" ht="12">
      <c r="F38" s="6"/>
    </row>
    <row r="39" ht="12">
      <c r="F39" s="6"/>
    </row>
    <row r="40" ht="12">
      <c r="F40" s="6"/>
    </row>
    <row r="41" ht="12">
      <c r="F41" s="6"/>
    </row>
    <row r="42" ht="12">
      <c r="F42" s="6"/>
    </row>
    <row r="43" ht="12">
      <c r="F43" s="6"/>
    </row>
    <row r="44" ht="12">
      <c r="F44" s="6"/>
    </row>
    <row r="45" ht="12">
      <c r="F45" s="6"/>
    </row>
    <row r="46" ht="12">
      <c r="F46" s="6"/>
    </row>
    <row r="47" ht="12">
      <c r="F47" s="6"/>
    </row>
    <row r="48" ht="12">
      <c r="F48" s="6"/>
    </row>
    <row r="49" ht="12">
      <c r="F49" s="6"/>
    </row>
    <row r="50" ht="12">
      <c r="F50" s="6"/>
    </row>
    <row r="51" ht="12">
      <c r="F51" s="6"/>
    </row>
    <row r="52" ht="12">
      <c r="F52" s="6"/>
    </row>
    <row r="53" ht="12">
      <c r="F53" s="6"/>
    </row>
    <row r="54" ht="12">
      <c r="F54" s="6"/>
    </row>
    <row r="55" ht="12">
      <c r="F55" s="6"/>
    </row>
    <row r="56" ht="12">
      <c r="F56" s="6"/>
    </row>
    <row r="57" ht="12">
      <c r="F57" s="6"/>
    </row>
    <row r="58" ht="12">
      <c r="F58" s="6"/>
    </row>
  </sheetData>
  <sheetProtection/>
  <printOptions gridLines="1"/>
  <pageMargins left="0.25" right="0.25" top="1" bottom="1" header="0.5" footer="0.5"/>
  <pageSetup fitToHeight="1" fitToWidth="1" horizontalDpi="600" verticalDpi="600" orientation="landscape" paperSize="5" scale="98" r:id="rId1"/>
  <headerFooter alignWithMargins="0">
    <oddHeader>&amp;RForestview Cost Analysis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view="pageLayout" zoomScaleNormal="125" workbookViewId="0" topLeftCell="A1">
      <selection activeCell="C2" sqref="C2:C9"/>
    </sheetView>
  </sheetViews>
  <sheetFormatPr defaultColWidth="9.140625" defaultRowHeight="12.75"/>
  <cols>
    <col min="1" max="1" width="23.7109375" style="9" customWidth="1"/>
    <col min="2" max="2" width="17.421875" style="9" customWidth="1"/>
    <col min="3" max="16384" width="9.140625" style="9" customWidth="1"/>
  </cols>
  <sheetData>
    <row r="1" spans="1:3" s="3" customFormat="1" ht="36" customHeight="1" thickBot="1">
      <c r="A1" s="194" t="s">
        <v>314</v>
      </c>
      <c r="B1" s="195"/>
      <c r="C1" s="176"/>
    </row>
    <row r="2" spans="1:3" s="3" customFormat="1" ht="12.75" customHeight="1">
      <c r="A2" s="177" t="s">
        <v>310</v>
      </c>
      <c r="B2" s="18">
        <v>27592</v>
      </c>
      <c r="C2" s="176" t="s">
        <v>322</v>
      </c>
    </row>
    <row r="3" spans="1:3" ht="12.75" customHeight="1">
      <c r="A3" s="177" t="s">
        <v>308</v>
      </c>
      <c r="B3" s="18">
        <v>610</v>
      </c>
      <c r="C3" s="178"/>
    </row>
    <row r="4" spans="1:3" ht="12.75" customHeight="1" thickBot="1">
      <c r="A4" s="177" t="s">
        <v>307</v>
      </c>
      <c r="B4" s="169">
        <v>11768.92</v>
      </c>
      <c r="C4" s="179"/>
    </row>
    <row r="5" spans="1:3" ht="12.75" customHeight="1" thickTop="1">
      <c r="A5" s="180" t="s">
        <v>309</v>
      </c>
      <c r="B5" s="20">
        <f>SUM(B2:B4)</f>
        <v>39970.92</v>
      </c>
      <c r="C5" s="181"/>
    </row>
    <row r="6" spans="1:3" ht="12.75" customHeight="1">
      <c r="A6" s="182"/>
      <c r="B6" s="20"/>
      <c r="C6" s="181"/>
    </row>
    <row r="7" spans="1:3" ht="12.75" customHeight="1">
      <c r="A7" s="183" t="s">
        <v>321</v>
      </c>
      <c r="B7" s="142">
        <v>25432</v>
      </c>
      <c r="C7" s="184">
        <v>1300</v>
      </c>
    </row>
    <row r="8" spans="1:3" ht="12.75" customHeight="1" thickBot="1">
      <c r="A8" s="183" t="s">
        <v>312</v>
      </c>
      <c r="B8" s="167">
        <v>20860</v>
      </c>
      <c r="C8" s="185">
        <v>1300</v>
      </c>
    </row>
    <row r="9" spans="1:3" s="15" customFormat="1" ht="12.75" customHeight="1" thickTop="1">
      <c r="A9" s="186" t="s">
        <v>313</v>
      </c>
      <c r="B9" s="20">
        <f>SUM(B7:B8)</f>
        <v>46292</v>
      </c>
      <c r="C9" s="187">
        <f>SUM(C7:C8)</f>
        <v>2600</v>
      </c>
    </row>
    <row r="10" spans="1:3" ht="12.75" customHeight="1" thickBot="1">
      <c r="A10" s="188"/>
      <c r="B10" s="168"/>
      <c r="C10" s="189"/>
    </row>
    <row r="11" spans="1:3" s="15" customFormat="1" ht="12.75" customHeight="1" thickBot="1" thickTop="1">
      <c r="A11" s="190" t="s">
        <v>146</v>
      </c>
      <c r="B11" s="25">
        <f>SUM(B9,,B5,)</f>
        <v>86262.92</v>
      </c>
      <c r="C11" s="191"/>
    </row>
  </sheetData>
  <sheetProtection/>
  <printOptions gridLines="1"/>
  <pageMargins left="0.25" right="0.25" top="1" bottom="1" header="0.5" footer="0.5"/>
  <pageSetup fitToHeight="1" fitToWidth="1" horizontalDpi="600" verticalDpi="600" orientation="landscape" paperSize="5" r:id="rId1"/>
  <headerFooter alignWithMargins="0">
    <oddHeader>&amp;RHenry T. Jones Cost Analysis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view="pageLayout" zoomScaleNormal="125" workbookViewId="0" topLeftCell="A1">
      <selection activeCell="E18" sqref="E18"/>
    </sheetView>
  </sheetViews>
  <sheetFormatPr defaultColWidth="9.140625" defaultRowHeight="12.75"/>
  <cols>
    <col min="1" max="1" width="22.28125" style="9" customWidth="1"/>
    <col min="2" max="2" width="17.421875" style="9" customWidth="1"/>
    <col min="3" max="16384" width="9.140625" style="9" customWidth="1"/>
  </cols>
  <sheetData>
    <row r="1" spans="1:3" s="3" customFormat="1" ht="36" customHeight="1" thickBot="1">
      <c r="A1" s="194" t="s">
        <v>314</v>
      </c>
      <c r="B1" s="195"/>
      <c r="C1" s="176"/>
    </row>
    <row r="2" spans="1:3" s="3" customFormat="1" ht="12.75" customHeight="1">
      <c r="A2" s="177" t="s">
        <v>310</v>
      </c>
      <c r="B2" s="18">
        <v>23896</v>
      </c>
      <c r="C2" s="176" t="s">
        <v>322</v>
      </c>
    </row>
    <row r="3" spans="1:3" ht="12.75" customHeight="1">
      <c r="A3" s="177" t="s">
        <v>308</v>
      </c>
      <c r="B3" s="18">
        <v>610</v>
      </c>
      <c r="C3" s="178"/>
    </row>
    <row r="4" spans="1:3" ht="12.75" customHeight="1" thickBot="1">
      <c r="A4" s="177" t="s">
        <v>307</v>
      </c>
      <c r="B4" s="169">
        <v>7368.4</v>
      </c>
      <c r="C4" s="179"/>
    </row>
    <row r="5" spans="1:3" ht="12.75" customHeight="1" thickTop="1">
      <c r="A5" s="180" t="s">
        <v>309</v>
      </c>
      <c r="B5" s="20">
        <f>SUM(B2:B4)</f>
        <v>31874.4</v>
      </c>
      <c r="C5" s="181"/>
    </row>
    <row r="6" spans="1:3" ht="12.75" customHeight="1">
      <c r="A6" s="182"/>
      <c r="B6" s="20"/>
      <c r="C6" s="181"/>
    </row>
    <row r="7" spans="1:3" ht="12.75" customHeight="1">
      <c r="A7" s="183" t="s">
        <v>321</v>
      </c>
      <c r="B7" s="142">
        <v>25432</v>
      </c>
      <c r="C7" s="184">
        <v>1300</v>
      </c>
    </row>
    <row r="8" spans="1:3" ht="12.75" customHeight="1" thickBot="1">
      <c r="A8" s="183" t="s">
        <v>312</v>
      </c>
      <c r="B8" s="167">
        <v>20860</v>
      </c>
      <c r="C8" s="185">
        <v>1300</v>
      </c>
    </row>
    <row r="9" spans="1:3" s="15" customFormat="1" ht="12.75" customHeight="1" thickTop="1">
      <c r="A9" s="186" t="s">
        <v>313</v>
      </c>
      <c r="B9" s="20">
        <f>SUM(B7:B8)</f>
        <v>46292</v>
      </c>
      <c r="C9" s="187">
        <f>SUM(C7:C8)</f>
        <v>2600</v>
      </c>
    </row>
    <row r="10" spans="1:3" ht="12.75" customHeight="1" thickBot="1">
      <c r="A10" s="188"/>
      <c r="B10" s="168"/>
      <c r="C10" s="189"/>
    </row>
    <row r="11" spans="1:3" s="15" customFormat="1" ht="12.75" customHeight="1" thickBot="1" thickTop="1">
      <c r="A11" s="190" t="s">
        <v>146</v>
      </c>
      <c r="B11" s="25">
        <f>SUM(B9,,B5,)</f>
        <v>78166.4</v>
      </c>
      <c r="C11" s="191"/>
    </row>
    <row r="12" ht="12.75" customHeight="1"/>
    <row r="13" ht="12.75" customHeight="1"/>
    <row r="14" ht="12.75" customHeight="1"/>
    <row r="15" ht="9" customHeight="1"/>
    <row r="16" ht="9" customHeight="1"/>
    <row r="17" ht="9" customHeight="1"/>
  </sheetData>
  <sheetProtection/>
  <printOptions gridLines="1"/>
  <pageMargins left="0.25" right="0.25" top="1" bottom="1" header="0.5" footer="0.5"/>
  <pageSetup fitToHeight="1" fitToWidth="1" horizontalDpi="600" verticalDpi="600" orientation="landscape" paperSize="5" r:id="rId1"/>
  <headerFooter alignWithMargins="0">
    <oddHeader>&amp;RJohnnie Walker Cost Analysis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view="pageLayout" zoomScaleNormal="125" workbookViewId="0" topLeftCell="A1">
      <selection activeCell="C2" sqref="C2:C9"/>
    </sheetView>
  </sheetViews>
  <sheetFormatPr defaultColWidth="9.140625" defaultRowHeight="12.75"/>
  <cols>
    <col min="1" max="1" width="22.28125" style="9" customWidth="1"/>
    <col min="2" max="2" width="17.421875" style="9" customWidth="1"/>
    <col min="3" max="16384" width="9.140625" style="9" customWidth="1"/>
  </cols>
  <sheetData>
    <row r="1" spans="1:3" s="3" customFormat="1" ht="36" customHeight="1" thickBot="1">
      <c r="A1" s="194" t="s">
        <v>314</v>
      </c>
      <c r="B1" s="195"/>
      <c r="C1" s="176"/>
    </row>
    <row r="2" spans="1:3" s="3" customFormat="1" ht="12.75" customHeight="1">
      <c r="A2" s="177" t="s">
        <v>310</v>
      </c>
      <c r="B2" s="18">
        <v>6726</v>
      </c>
      <c r="C2" s="176" t="s">
        <v>322</v>
      </c>
    </row>
    <row r="3" spans="1:3" ht="12.75" customHeight="1">
      <c r="A3" s="177" t="s">
        <v>308</v>
      </c>
      <c r="B3" s="18">
        <v>475</v>
      </c>
      <c r="C3" s="178"/>
    </row>
    <row r="4" spans="1:3" ht="12.75" customHeight="1" thickBot="1">
      <c r="A4" s="177" t="s">
        <v>307</v>
      </c>
      <c r="B4" s="169">
        <v>19655</v>
      </c>
      <c r="C4" s="179"/>
    </row>
    <row r="5" spans="1:3" ht="12.75" customHeight="1" thickTop="1">
      <c r="A5" s="180" t="s">
        <v>309</v>
      </c>
      <c r="B5" s="20">
        <f>SUM(B2:B4)</f>
        <v>26856</v>
      </c>
      <c r="C5" s="181"/>
    </row>
    <row r="6" spans="1:3" ht="12.75" customHeight="1">
      <c r="A6" s="182"/>
      <c r="B6" s="20"/>
      <c r="C6" s="181"/>
    </row>
    <row r="7" spans="1:3" ht="12.75" customHeight="1">
      <c r="A7" s="183" t="s">
        <v>321</v>
      </c>
      <c r="B7" s="142">
        <v>25432</v>
      </c>
      <c r="C7" s="184">
        <v>1300</v>
      </c>
    </row>
    <row r="8" spans="1:3" ht="12.75" customHeight="1" thickBot="1">
      <c r="A8" s="183" t="s">
        <v>312</v>
      </c>
      <c r="B8" s="167">
        <v>20860</v>
      </c>
      <c r="C8" s="185">
        <v>1300</v>
      </c>
    </row>
    <row r="9" spans="1:3" s="15" customFormat="1" ht="12.75" customHeight="1" thickTop="1">
      <c r="A9" s="186" t="s">
        <v>313</v>
      </c>
      <c r="B9" s="20">
        <f>SUM(B7:B8)</f>
        <v>46292</v>
      </c>
      <c r="C9" s="187">
        <f>SUM(C7:C8)</f>
        <v>2600</v>
      </c>
    </row>
    <row r="10" spans="1:3" ht="12.75" customHeight="1" thickBot="1">
      <c r="A10" s="188"/>
      <c r="B10" s="168"/>
      <c r="C10" s="189"/>
    </row>
    <row r="11" spans="1:3" s="15" customFormat="1" ht="12.75" customHeight="1" thickBot="1" thickTop="1">
      <c r="A11" s="190" t="s">
        <v>146</v>
      </c>
      <c r="B11" s="25">
        <f>SUM(B9,,B5,)</f>
        <v>73148</v>
      </c>
      <c r="C11" s="191"/>
    </row>
    <row r="12" ht="12.75" customHeight="1"/>
    <row r="13" ht="12.75" customHeight="1"/>
    <row r="14" ht="12.75" customHeight="1"/>
    <row r="15" ht="9" customHeight="1"/>
    <row r="16" ht="9" customHeight="1"/>
    <row r="17" ht="9" customHeight="1"/>
  </sheetData>
  <sheetProtection/>
  <printOptions gridLines="1"/>
  <pageMargins left="0.25" right="0.25" top="1" bottom="1" header="0.5" footer="0.5"/>
  <pageSetup fitToHeight="1" fitToWidth="1" horizontalDpi="600" verticalDpi="600" orientation="landscape" paperSize="5" r:id="rId1"/>
  <headerFooter alignWithMargins="0">
    <oddHeader>&amp;RJulian Barrs Cost Analysis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W63"/>
  <sheetViews>
    <sheetView view="pageLayout" zoomScaleNormal="125" workbookViewId="0" topLeftCell="A10">
      <selection activeCell="D32" sqref="D32"/>
    </sheetView>
  </sheetViews>
  <sheetFormatPr defaultColWidth="9.140625" defaultRowHeight="12.75"/>
  <cols>
    <col min="1" max="1" width="27.00390625" style="9" customWidth="1"/>
    <col min="2" max="2" width="19.57421875" style="9" customWidth="1"/>
    <col min="3" max="3" width="8.421875" style="9" customWidth="1"/>
    <col min="4" max="4" width="19.140625" style="9" customWidth="1"/>
    <col min="5" max="5" width="9.8515625" style="9" customWidth="1"/>
    <col min="6" max="6" width="11.00390625" style="6" hidden="1" customWidth="1"/>
    <col min="7" max="7" width="10.421875" style="9" hidden="1" customWidth="1"/>
    <col min="8" max="8" width="8.00390625" style="9" customWidth="1"/>
    <col min="9" max="9" width="9.421875" style="9" customWidth="1"/>
    <col min="10" max="10" width="7.00390625" style="9" hidden="1" customWidth="1"/>
    <col min="11" max="11" width="6.8515625" style="9" hidden="1" customWidth="1"/>
    <col min="12" max="12" width="1.57421875" style="9" customWidth="1"/>
    <col min="13" max="13" width="10.7109375" style="9" customWidth="1"/>
    <col min="14" max="14" width="7.57421875" style="9" customWidth="1"/>
    <col min="15" max="15" width="7.7109375" style="9" bestFit="1" customWidth="1"/>
    <col min="16" max="18" width="9.140625" style="9" customWidth="1"/>
    <col min="19" max="19" width="11.00390625" style="9" customWidth="1"/>
    <col min="20" max="16384" width="9.140625" style="9" customWidth="1"/>
  </cols>
  <sheetData>
    <row r="1" spans="1:19" s="3" customFormat="1" ht="37.5" customHeight="1" thickBot="1">
      <c r="A1" s="1" t="s">
        <v>0</v>
      </c>
      <c r="B1" s="1" t="s">
        <v>277</v>
      </c>
      <c r="C1" s="1" t="s">
        <v>278</v>
      </c>
      <c r="D1" s="1" t="s">
        <v>159</v>
      </c>
      <c r="E1" s="1" t="s">
        <v>161</v>
      </c>
      <c r="F1" s="1" t="s">
        <v>9</v>
      </c>
      <c r="G1" s="1" t="s">
        <v>166</v>
      </c>
      <c r="H1" s="1" t="s">
        <v>4</v>
      </c>
      <c r="I1" s="1" t="s">
        <v>23</v>
      </c>
      <c r="J1" s="1" t="s">
        <v>11</v>
      </c>
      <c r="K1" s="1" t="s">
        <v>14</v>
      </c>
      <c r="L1" s="1"/>
      <c r="M1" s="1" t="s">
        <v>151</v>
      </c>
      <c r="N1" s="1" t="s">
        <v>29</v>
      </c>
      <c r="O1" s="1" t="s">
        <v>3</v>
      </c>
      <c r="P1" s="1" t="s">
        <v>310</v>
      </c>
      <c r="Q1" s="1" t="s">
        <v>308</v>
      </c>
      <c r="R1" s="1" t="s">
        <v>307</v>
      </c>
      <c r="S1" s="1" t="s">
        <v>146</v>
      </c>
    </row>
    <row r="2" spans="1:17" s="3" customFormat="1" ht="12.75" customHeight="1">
      <c r="A2" s="4" t="s">
        <v>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6" ht="12.75" customHeight="1">
      <c r="B3" s="6"/>
      <c r="C3" s="143"/>
      <c r="D3" s="6"/>
      <c r="E3" s="7"/>
      <c r="G3" s="7"/>
      <c r="H3" s="143"/>
      <c r="I3" s="7"/>
      <c r="J3" s="6"/>
      <c r="K3" s="7"/>
      <c r="L3" s="7"/>
      <c r="M3" s="7">
        <f>SUM(C3,E3,G3,H3,I3,K3,L3)</f>
        <v>0</v>
      </c>
      <c r="N3" s="7"/>
      <c r="O3" s="7"/>
      <c r="P3" s="7"/>
    </row>
    <row r="4" spans="2:16" ht="12.75" customHeight="1">
      <c r="B4" s="6"/>
      <c r="C4" s="143"/>
      <c r="D4" s="6"/>
      <c r="E4" s="7"/>
      <c r="G4" s="7"/>
      <c r="H4" s="143"/>
      <c r="I4" s="7"/>
      <c r="J4" s="6"/>
      <c r="K4" s="7"/>
      <c r="L4" s="7"/>
      <c r="M4" s="7">
        <f>SUM(C4,E4,G4,H4,I4,K4,L4)</f>
        <v>0</v>
      </c>
      <c r="N4" s="7"/>
      <c r="O4" s="7"/>
      <c r="P4" s="7"/>
    </row>
    <row r="5" spans="1:18" ht="12.75" customHeight="1">
      <c r="A5" s="9" t="s">
        <v>293</v>
      </c>
      <c r="B5" s="6" t="s">
        <v>283</v>
      </c>
      <c r="C5" s="143">
        <v>14407</v>
      </c>
      <c r="D5" s="6"/>
      <c r="E5" s="7"/>
      <c r="G5" s="7"/>
      <c r="H5" s="143"/>
      <c r="I5" s="7"/>
      <c r="J5" s="6"/>
      <c r="K5" s="7"/>
      <c r="L5" s="7"/>
      <c r="M5" s="7">
        <f>SUM(C5,E5,G5,H5,I5,K5,L5)</f>
        <v>14407</v>
      </c>
      <c r="N5" s="7"/>
      <c r="O5" s="7"/>
      <c r="P5" s="7"/>
      <c r="Q5" s="7"/>
      <c r="R5" s="7"/>
    </row>
    <row r="6" spans="1:16" ht="12.75" customHeight="1">
      <c r="A6" s="9" t="s">
        <v>293</v>
      </c>
      <c r="B6" s="6" t="s">
        <v>283</v>
      </c>
      <c r="C6" s="143">
        <v>14407</v>
      </c>
      <c r="D6" s="26"/>
      <c r="E6" s="144"/>
      <c r="G6" s="7"/>
      <c r="H6" s="143"/>
      <c r="I6" s="7"/>
      <c r="J6" s="6"/>
      <c r="K6" s="7"/>
      <c r="L6" s="7"/>
      <c r="M6" s="7">
        <f>SUM(C6,E6,G6,H6,I6,K6,L6)</f>
        <v>14407</v>
      </c>
      <c r="N6" s="7"/>
      <c r="O6" s="7"/>
      <c r="P6" s="7"/>
    </row>
    <row r="7" spans="1:16" ht="12.75" customHeight="1">
      <c r="A7" s="9" t="s">
        <v>165</v>
      </c>
      <c r="B7" s="6"/>
      <c r="C7" s="144"/>
      <c r="D7" s="26" t="s">
        <v>294</v>
      </c>
      <c r="E7" s="143">
        <f>25*9.95*8</f>
        <v>1989.9999999999998</v>
      </c>
      <c r="G7" s="7"/>
      <c r="H7" s="143"/>
      <c r="I7" s="7"/>
      <c r="J7" s="7"/>
      <c r="K7" s="7"/>
      <c r="L7" s="7"/>
      <c r="M7" s="7">
        <f>SUM(C7,E7,G7,H7,I7,K7,L7)</f>
        <v>1989.9999999999998</v>
      </c>
      <c r="N7" s="7"/>
      <c r="O7" s="7"/>
      <c r="P7" s="7"/>
    </row>
    <row r="8" spans="1:19" ht="12.75" customHeight="1">
      <c r="A8" s="9" t="s">
        <v>164</v>
      </c>
      <c r="B8" s="6"/>
      <c r="C8" s="144"/>
      <c r="D8" s="26"/>
      <c r="E8" s="144"/>
      <c r="G8" s="7"/>
      <c r="H8" s="144">
        <v>7952.96</v>
      </c>
      <c r="I8" s="7"/>
      <c r="J8" s="7"/>
      <c r="K8" s="7"/>
      <c r="L8" s="7"/>
      <c r="M8" s="7"/>
      <c r="N8" s="7"/>
      <c r="O8" s="7"/>
      <c r="P8" s="12"/>
      <c r="S8" s="41" t="s">
        <v>311</v>
      </c>
    </row>
    <row r="9" spans="1:19" ht="12.75" customHeight="1">
      <c r="A9" s="5" t="s">
        <v>31</v>
      </c>
      <c r="B9" s="6"/>
      <c r="C9" s="143"/>
      <c r="D9" s="26"/>
      <c r="E9" s="143"/>
      <c r="G9" s="7"/>
      <c r="H9" s="144">
        <v>393.55</v>
      </c>
      <c r="I9" s="7"/>
      <c r="J9" s="7"/>
      <c r="K9" s="7"/>
      <c r="L9" s="7"/>
      <c r="M9" s="7"/>
      <c r="N9" s="7">
        <f>SUM(B9:M9)</f>
        <v>393.55</v>
      </c>
      <c r="O9" s="7"/>
      <c r="P9" s="7">
        <v>46244</v>
      </c>
      <c r="Q9" s="7">
        <v>1257</v>
      </c>
      <c r="R9" s="7">
        <v>24996.32</v>
      </c>
      <c r="S9" s="12">
        <f>SUM(O10,P9,Q9,R9)</f>
        <v>72890.87</v>
      </c>
    </row>
    <row r="10" spans="1:16" ht="12.75" customHeight="1">
      <c r="A10" s="11" t="s">
        <v>147</v>
      </c>
      <c r="B10" s="11"/>
      <c r="C10" s="148">
        <f>SUM(C3:C9)</f>
        <v>28814</v>
      </c>
      <c r="D10" s="48"/>
      <c r="E10" s="12">
        <f>SUM(E3:E7)</f>
        <v>1989.9999999999998</v>
      </c>
      <c r="F10" s="11"/>
      <c r="G10" s="12">
        <f>SUM(G3:G7)</f>
        <v>0</v>
      </c>
      <c r="H10" s="12">
        <f>SUM(H7:H8)</f>
        <v>7952.96</v>
      </c>
      <c r="I10" s="12">
        <f>SUM(I3:I7)</f>
        <v>0</v>
      </c>
      <c r="J10" s="12"/>
      <c r="K10" s="12">
        <f>SUM(K3:K7)</f>
        <v>0</v>
      </c>
      <c r="L10" s="12"/>
      <c r="M10" s="12">
        <f>SUM(C10,,E10,G10,H10,I10,K10,L10)</f>
        <v>38756.96</v>
      </c>
      <c r="N10" s="12">
        <f>N9</f>
        <v>393.55</v>
      </c>
      <c r="O10" s="12">
        <f>SUM(N10)</f>
        <v>393.55</v>
      </c>
      <c r="P10" s="7"/>
    </row>
    <row r="11" spans="1:16" s="15" customFormat="1" ht="12.75" customHeight="1">
      <c r="A11" s="14" t="s">
        <v>148</v>
      </c>
      <c r="B11" s="6"/>
      <c r="C11" s="7"/>
      <c r="D11" s="26"/>
      <c r="E11" s="7"/>
      <c r="F11" s="6"/>
      <c r="G11" s="7"/>
      <c r="H11" s="12"/>
      <c r="I11" s="12"/>
      <c r="J11" s="12"/>
      <c r="K11" s="12"/>
      <c r="L11" s="12"/>
      <c r="M11" s="7"/>
      <c r="N11" s="12"/>
      <c r="O11" s="12"/>
      <c r="P11" s="12"/>
    </row>
    <row r="12" spans="2:19" ht="12.75" customHeight="1">
      <c r="B12" s="6"/>
      <c r="C12" s="7"/>
      <c r="D12" s="26"/>
      <c r="E12" s="7"/>
      <c r="G12" s="7"/>
      <c r="H12" s="7"/>
      <c r="I12" s="7">
        <v>155</v>
      </c>
      <c r="J12" s="7"/>
      <c r="K12" s="7"/>
      <c r="L12" s="7"/>
      <c r="M12" s="7">
        <f>SUM(C12,,E12,G12,H12,I12,K12,L12)</f>
        <v>155</v>
      </c>
      <c r="N12" s="7"/>
      <c r="O12" s="7"/>
      <c r="P12" s="12"/>
      <c r="Q12" s="15"/>
      <c r="R12" s="15"/>
      <c r="S12" s="15"/>
    </row>
    <row r="13" spans="1:16" s="15" customFormat="1" ht="12.75" customHeight="1">
      <c r="A13" s="9"/>
      <c r="B13" s="6"/>
      <c r="C13" s="7"/>
      <c r="D13" s="26"/>
      <c r="E13" s="7"/>
      <c r="F13" s="6"/>
      <c r="G13" s="7"/>
      <c r="H13" s="7"/>
      <c r="I13" s="12"/>
      <c r="J13" s="12"/>
      <c r="K13" s="12"/>
      <c r="L13" s="12"/>
      <c r="M13" s="7">
        <f>SUM(C13,E13,G13,H13,I13,K13,L13)</f>
        <v>0</v>
      </c>
      <c r="N13" s="12"/>
      <c r="O13" s="12"/>
      <c r="P13" s="12"/>
    </row>
    <row r="14" spans="1:16" s="15" customFormat="1" ht="12.75" customHeight="1">
      <c r="A14" s="9"/>
      <c r="B14" s="6"/>
      <c r="C14" s="7"/>
      <c r="D14" s="26"/>
      <c r="E14" s="7"/>
      <c r="F14" s="6"/>
      <c r="G14" s="7"/>
      <c r="H14" s="7"/>
      <c r="I14" s="7">
        <v>87</v>
      </c>
      <c r="J14" s="7"/>
      <c r="K14" s="7"/>
      <c r="L14" s="12"/>
      <c r="M14" s="7">
        <f>SUM(C14,E14,G14,H14,I14,K14,L14)</f>
        <v>87</v>
      </c>
      <c r="N14" s="12"/>
      <c r="O14" s="12"/>
      <c r="P14" s="12"/>
    </row>
    <row r="15" spans="1:19" s="15" customFormat="1" ht="12.75" customHeight="1">
      <c r="A15" s="9" t="s">
        <v>28</v>
      </c>
      <c r="B15" s="6"/>
      <c r="C15" s="7">
        <v>296</v>
      </c>
      <c r="D15" s="26"/>
      <c r="E15" s="7"/>
      <c r="F15" s="6"/>
      <c r="G15" s="7"/>
      <c r="H15" s="7"/>
      <c r="I15" s="7">
        <v>164</v>
      </c>
      <c r="J15" s="7"/>
      <c r="K15" s="7"/>
      <c r="L15" s="12"/>
      <c r="M15" s="7">
        <f>SUM(C15,,E15,G15,H15,I15,K15,L15)</f>
        <v>460</v>
      </c>
      <c r="N15" s="12"/>
      <c r="O15" s="12"/>
      <c r="P15" s="21"/>
      <c r="Q15" s="21"/>
      <c r="R15" s="21"/>
      <c r="S15" s="21"/>
    </row>
    <row r="16" spans="1:15" s="15" customFormat="1" ht="12.75" customHeight="1">
      <c r="A16" s="9"/>
      <c r="B16" s="6"/>
      <c r="C16" s="7"/>
      <c r="D16" s="26"/>
      <c r="E16" s="7"/>
      <c r="F16" s="6"/>
      <c r="G16" s="7"/>
      <c r="H16" s="7"/>
      <c r="I16" s="7">
        <v>297</v>
      </c>
      <c r="J16" s="7"/>
      <c r="K16" s="7"/>
      <c r="L16" s="7"/>
      <c r="M16" s="7">
        <f>SUM(C16,E16,G16,H16,I16,K16,L16)</f>
        <v>297</v>
      </c>
      <c r="N16" s="12"/>
      <c r="O16" s="12"/>
    </row>
    <row r="17" spans="1:15" s="21" customFormat="1" ht="12.75" customHeight="1">
      <c r="A17" s="16" t="s">
        <v>15</v>
      </c>
      <c r="B17" s="17"/>
      <c r="C17" s="18"/>
      <c r="D17" s="47"/>
      <c r="E17" s="18"/>
      <c r="F17" s="17"/>
      <c r="G17" s="18"/>
      <c r="H17" s="18"/>
      <c r="I17" s="18">
        <v>127</v>
      </c>
      <c r="J17" s="18"/>
      <c r="K17" s="18"/>
      <c r="L17" s="18"/>
      <c r="M17" s="7">
        <f>SUM(C17,E17,G17,H17,I17,K17,L17)</f>
        <v>127</v>
      </c>
      <c r="N17" s="20"/>
      <c r="O17" s="20"/>
    </row>
    <row r="18" spans="1:15" s="21" customFormat="1" ht="12.75" customHeight="1">
      <c r="A18" s="22" t="s">
        <v>147</v>
      </c>
      <c r="B18" s="17"/>
      <c r="C18" s="20">
        <f>SUM(C12:C17)</f>
        <v>296</v>
      </c>
      <c r="D18" s="34"/>
      <c r="E18" s="20">
        <f>SUM(E12:E17)</f>
        <v>0</v>
      </c>
      <c r="F18" s="22"/>
      <c r="G18" s="20">
        <f>SUM(G12:G17)</f>
        <v>0</v>
      </c>
      <c r="H18" s="20">
        <f>SUM(H12:H17)</f>
        <v>0</v>
      </c>
      <c r="I18" s="20">
        <f>SUM(I12:I17)</f>
        <v>830</v>
      </c>
      <c r="J18" s="20"/>
      <c r="K18" s="20">
        <f>SUM(K12:K17)</f>
        <v>0</v>
      </c>
      <c r="L18" s="20"/>
      <c r="M18" s="12">
        <f>SUM(M12:M17)</f>
        <v>1126</v>
      </c>
      <c r="N18" s="20">
        <f>SUM(N12:N17)</f>
        <v>0</v>
      </c>
      <c r="O18" s="20"/>
    </row>
    <row r="19" spans="1:19" s="15" customFormat="1" ht="12.75" customHeight="1" thickBot="1">
      <c r="A19" s="24" t="s">
        <v>6</v>
      </c>
      <c r="B19" s="24"/>
      <c r="C19" s="25">
        <f>C10+C18</f>
        <v>29110</v>
      </c>
      <c r="D19" s="49"/>
      <c r="E19" s="25">
        <f>E10+E18</f>
        <v>1989.9999999999998</v>
      </c>
      <c r="F19" s="24"/>
      <c r="G19" s="25">
        <f>G10+G18</f>
        <v>0</v>
      </c>
      <c r="H19" s="25">
        <f>H10+H18</f>
        <v>7952.96</v>
      </c>
      <c r="I19" s="25">
        <f>I10+I18</f>
        <v>830</v>
      </c>
      <c r="J19" s="25"/>
      <c r="K19" s="25">
        <f>K10+K18</f>
        <v>0</v>
      </c>
      <c r="L19" s="25"/>
      <c r="M19" s="25">
        <f>SUM(C19,E19,G19,H19,I19,K19,L19)</f>
        <v>39882.96</v>
      </c>
      <c r="N19" s="25">
        <f>N10+N18</f>
        <v>393.55</v>
      </c>
      <c r="O19" s="25">
        <f>SUM(M19:N19)</f>
        <v>40276.51</v>
      </c>
      <c r="P19" s="25"/>
      <c r="Q19" s="160"/>
      <c r="R19" s="160"/>
      <c r="S19" s="25">
        <f>SUM(O19+P9+Q9+R9)</f>
        <v>112773.83000000002</v>
      </c>
    </row>
    <row r="20" spans="1:15" s="15" customFormat="1" ht="12.75" customHeight="1">
      <c r="A20" s="9" t="s">
        <v>16</v>
      </c>
      <c r="B20" s="26"/>
      <c r="C20" s="7">
        <v>42228.48</v>
      </c>
      <c r="D20" s="2" t="s">
        <v>322</v>
      </c>
      <c r="E20" s="20"/>
      <c r="F20" s="22"/>
      <c r="G20" s="20"/>
      <c r="H20" s="20"/>
      <c r="I20" s="20"/>
      <c r="J20" s="20"/>
      <c r="K20" s="20"/>
      <c r="L20" s="20"/>
      <c r="M20" s="20"/>
      <c r="N20" s="20"/>
      <c r="O20" s="20"/>
    </row>
    <row r="21" spans="1:49" s="15" customFormat="1" ht="12.75" customHeight="1">
      <c r="A21" s="9" t="s">
        <v>17</v>
      </c>
      <c r="B21" s="26"/>
      <c r="C21" s="7">
        <v>13135.78</v>
      </c>
      <c r="D21" s="6"/>
      <c r="E21" s="7"/>
      <c r="F21" s="6"/>
      <c r="G21" s="7"/>
      <c r="H21" s="7"/>
      <c r="I21" s="7"/>
      <c r="J21" s="7"/>
      <c r="K21" s="7"/>
      <c r="L21" s="7"/>
      <c r="M21" s="7"/>
      <c r="N21" s="7"/>
      <c r="O21" s="7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</row>
    <row r="22" spans="1:15" ht="12.75" customHeight="1">
      <c r="A22" s="9" t="s">
        <v>16</v>
      </c>
      <c r="B22" s="26"/>
      <c r="C22" s="7">
        <v>42228.48</v>
      </c>
      <c r="D22" s="6"/>
      <c r="E22" s="7"/>
      <c r="G22" s="7"/>
      <c r="L22" s="7"/>
      <c r="M22" s="12"/>
      <c r="N22" s="12"/>
      <c r="O22" s="12"/>
    </row>
    <row r="23" spans="1:15" ht="12.75" customHeight="1">
      <c r="A23" s="9" t="s">
        <v>17</v>
      </c>
      <c r="B23" s="26"/>
      <c r="C23" s="7">
        <v>13135.78</v>
      </c>
      <c r="D23" s="6"/>
      <c r="E23" s="7"/>
      <c r="G23" s="7"/>
      <c r="L23" s="7"/>
      <c r="M23" s="7"/>
      <c r="N23" s="7"/>
      <c r="O23" s="7"/>
    </row>
    <row r="24" spans="1:15" ht="12.75" customHeight="1" thickBot="1">
      <c r="A24" s="9" t="s">
        <v>235</v>
      </c>
      <c r="B24" s="26"/>
      <c r="C24" s="7">
        <v>20494</v>
      </c>
      <c r="D24" s="172">
        <v>1300</v>
      </c>
      <c r="E24" s="7"/>
      <c r="F24" s="11"/>
      <c r="G24" s="7"/>
      <c r="L24" s="7"/>
      <c r="M24" s="7"/>
      <c r="N24" s="7"/>
      <c r="O24" s="7"/>
    </row>
    <row r="25" spans="1:15" ht="12.75" customHeight="1" thickTop="1">
      <c r="A25" s="173" t="s">
        <v>323</v>
      </c>
      <c r="B25" s="26"/>
      <c r="C25" s="7"/>
      <c r="D25" s="11">
        <f>SUM(D24)</f>
        <v>1300</v>
      </c>
      <c r="E25" s="7"/>
      <c r="F25" s="11"/>
      <c r="G25" s="7"/>
      <c r="L25" s="7"/>
      <c r="M25" s="7"/>
      <c r="N25" s="7"/>
      <c r="O25" s="7"/>
    </row>
    <row r="26" spans="1:15" ht="12.75" customHeight="1">
      <c r="A26" s="9" t="s">
        <v>243</v>
      </c>
      <c r="B26" s="26"/>
      <c r="C26" s="7">
        <v>7952.96</v>
      </c>
      <c r="D26" s="6"/>
      <c r="E26" s="7"/>
      <c r="G26" s="7"/>
      <c r="L26" s="7"/>
      <c r="M26" s="7"/>
      <c r="N26" s="7"/>
      <c r="O26" s="7"/>
    </row>
    <row r="27" spans="1:15" ht="12.75" customHeight="1">
      <c r="A27" s="9" t="s">
        <v>238</v>
      </c>
      <c r="B27" s="26"/>
      <c r="C27" s="7">
        <v>1719</v>
      </c>
      <c r="D27" s="6"/>
      <c r="E27" s="7"/>
      <c r="G27" s="7"/>
      <c r="L27" s="7"/>
      <c r="M27" s="7"/>
      <c r="N27" s="7"/>
      <c r="O27" s="7"/>
    </row>
    <row r="28" spans="2:15" ht="12.75" customHeight="1">
      <c r="B28" s="26"/>
      <c r="C28" s="12">
        <f>SUM(C20:C27)</f>
        <v>140894.48</v>
      </c>
      <c r="D28" s="6"/>
      <c r="E28" s="7"/>
      <c r="G28" s="7"/>
      <c r="L28" s="7"/>
      <c r="M28" s="7"/>
      <c r="N28" s="7"/>
      <c r="O28" s="7"/>
    </row>
    <row r="29" spans="1:15" ht="25.5" customHeight="1">
      <c r="A29" s="27" t="s">
        <v>225</v>
      </c>
      <c r="B29" s="26"/>
      <c r="C29" s="7">
        <f>C28-O19</f>
        <v>100617.97</v>
      </c>
      <c r="D29" s="6"/>
      <c r="E29" s="7"/>
      <c r="G29" s="7"/>
      <c r="L29" s="7"/>
      <c r="M29" s="7"/>
      <c r="N29" s="7"/>
      <c r="O29" s="7"/>
    </row>
    <row r="30" spans="1:15" ht="12.75" customHeight="1">
      <c r="A30" s="5"/>
      <c r="D30" s="6"/>
      <c r="E30" s="7"/>
      <c r="L30" s="45"/>
      <c r="M30" s="45"/>
      <c r="N30" s="45"/>
      <c r="O30" s="45"/>
    </row>
    <row r="31" spans="1:15" ht="12.75" customHeight="1">
      <c r="A31" s="9" t="s">
        <v>155</v>
      </c>
      <c r="D31" s="6"/>
      <c r="E31" s="7"/>
      <c r="L31" s="45"/>
      <c r="M31" s="45"/>
      <c r="N31" s="45"/>
      <c r="O31" s="45"/>
    </row>
    <row r="32" spans="1:15" ht="12.75" customHeight="1">
      <c r="A32" s="9" t="s">
        <v>149</v>
      </c>
      <c r="D32" s="6"/>
      <c r="E32" s="7"/>
      <c r="L32" s="45"/>
      <c r="M32" s="45"/>
      <c r="N32" s="45"/>
      <c r="O32" s="45"/>
    </row>
    <row r="33" spans="4:15" ht="12.75" customHeight="1">
      <c r="D33" s="6"/>
      <c r="E33" s="7"/>
      <c r="L33" s="45"/>
      <c r="M33" s="45"/>
      <c r="N33" s="45"/>
      <c r="O33" s="45"/>
    </row>
    <row r="34" spans="4:15" ht="12.75" customHeight="1">
      <c r="D34" s="6"/>
      <c r="E34" s="7"/>
      <c r="L34" s="45"/>
      <c r="M34" s="45"/>
      <c r="N34" s="45"/>
      <c r="O34" s="45"/>
    </row>
    <row r="35" spans="4:15" ht="12.75" customHeight="1">
      <c r="D35" s="6"/>
      <c r="E35" s="7"/>
      <c r="L35" s="45"/>
      <c r="M35" s="45"/>
      <c r="N35" s="45"/>
      <c r="O35" s="45"/>
    </row>
    <row r="36" spans="4:15" ht="10.5" customHeight="1">
      <c r="D36" s="6"/>
      <c r="E36" s="7"/>
      <c r="L36" s="45"/>
      <c r="M36" s="45"/>
      <c r="N36" s="45"/>
      <c r="O36" s="45"/>
    </row>
    <row r="37" ht="10.5" customHeight="1">
      <c r="D37" s="6"/>
    </row>
    <row r="38" ht="10.5" customHeight="1">
      <c r="D38" s="6"/>
    </row>
    <row r="39" ht="10.5" customHeight="1">
      <c r="D39" s="6"/>
    </row>
    <row r="40" ht="10.5" customHeight="1">
      <c r="D40" s="6"/>
    </row>
    <row r="41" ht="10.5" customHeight="1">
      <c r="D41" s="6"/>
    </row>
    <row r="42" ht="10.5" customHeight="1">
      <c r="D42" s="6"/>
    </row>
    <row r="43" ht="12">
      <c r="D43" s="6"/>
    </row>
    <row r="44" ht="12">
      <c r="D44" s="6"/>
    </row>
    <row r="45" ht="12">
      <c r="D45" s="6"/>
    </row>
    <row r="46" ht="12">
      <c r="D46" s="6"/>
    </row>
    <row r="47" ht="12">
      <c r="D47" s="6"/>
    </row>
    <row r="48" ht="12">
      <c r="D48" s="6"/>
    </row>
    <row r="49" ht="12">
      <c r="D49" s="6"/>
    </row>
    <row r="50" ht="12">
      <c r="D50" s="6"/>
    </row>
    <row r="51" ht="12">
      <c r="D51" s="6"/>
    </row>
    <row r="52" ht="12">
      <c r="D52" s="6"/>
    </row>
    <row r="53" ht="12">
      <c r="D53" s="6"/>
    </row>
    <row r="54" ht="12">
      <c r="D54" s="6"/>
    </row>
    <row r="55" ht="12">
      <c r="D55" s="6"/>
    </row>
    <row r="56" ht="12">
      <c r="D56" s="6"/>
    </row>
    <row r="57" ht="12">
      <c r="D57" s="6"/>
    </row>
    <row r="58" ht="12">
      <c r="D58" s="6"/>
    </row>
    <row r="59" ht="12">
      <c r="D59" s="6"/>
    </row>
    <row r="60" ht="12">
      <c r="D60" s="6"/>
    </row>
    <row r="61" ht="12">
      <c r="D61" s="6"/>
    </row>
    <row r="62" ht="12">
      <c r="D62" s="6"/>
    </row>
    <row r="63" ht="12">
      <c r="D63" s="6"/>
    </row>
  </sheetData>
  <sheetProtection/>
  <printOptions gridLines="1"/>
  <pageMargins left="0.25" right="0.25" top="1" bottom="1" header="0.5" footer="0.5"/>
  <pageSetup horizontalDpi="600" verticalDpi="600" orientation="landscape" paperSize="5" scale="95" r:id="rId1"/>
  <headerFooter alignWithMargins="0">
    <oddHeader>&amp;RMary Lena Gibbs Cost Analysis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C11"/>
  <sheetViews>
    <sheetView view="pageLayout" zoomScaleNormal="125" workbookViewId="0" topLeftCell="A1">
      <selection activeCell="C2" sqref="C2:C9"/>
    </sheetView>
  </sheetViews>
  <sheetFormatPr defaultColWidth="9.140625" defaultRowHeight="12.75"/>
  <cols>
    <col min="1" max="1" width="27.00390625" style="9" customWidth="1"/>
    <col min="2" max="2" width="19.57421875" style="9" customWidth="1"/>
    <col min="3" max="16384" width="9.140625" style="9" customWidth="1"/>
  </cols>
  <sheetData>
    <row r="1" spans="1:3" s="3" customFormat="1" ht="37.5" customHeight="1" thickBot="1">
      <c r="A1" s="194" t="s">
        <v>319</v>
      </c>
      <c r="B1" s="195"/>
      <c r="C1" s="176"/>
    </row>
    <row r="2" spans="1:3" s="3" customFormat="1" ht="12.75" customHeight="1">
      <c r="A2" s="177" t="s">
        <v>310</v>
      </c>
      <c r="B2" s="18">
        <v>6726</v>
      </c>
      <c r="C2" s="176" t="s">
        <v>322</v>
      </c>
    </row>
    <row r="3" spans="1:3" ht="12.75" customHeight="1">
      <c r="A3" s="177" t="s">
        <v>308</v>
      </c>
      <c r="B3" s="18">
        <v>475</v>
      </c>
      <c r="C3" s="178"/>
    </row>
    <row r="4" spans="1:3" ht="12.75" customHeight="1" thickBot="1">
      <c r="A4" s="177" t="s">
        <v>307</v>
      </c>
      <c r="B4" s="169">
        <v>19655</v>
      </c>
      <c r="C4" s="179"/>
    </row>
    <row r="5" spans="1:3" ht="12.75" customHeight="1" thickTop="1">
      <c r="A5" s="180" t="s">
        <v>309</v>
      </c>
      <c r="B5" s="20">
        <f>SUM(B2:B4)</f>
        <v>26856</v>
      </c>
      <c r="C5" s="181"/>
    </row>
    <row r="6" spans="1:3" ht="12.75" customHeight="1">
      <c r="A6" s="182"/>
      <c r="B6" s="20"/>
      <c r="C6" s="181"/>
    </row>
    <row r="7" spans="1:3" ht="12.75" customHeight="1">
      <c r="A7" s="183" t="s">
        <v>321</v>
      </c>
      <c r="B7" s="142">
        <v>25432</v>
      </c>
      <c r="C7" s="184">
        <v>1300</v>
      </c>
    </row>
    <row r="8" spans="1:3" ht="12.75" customHeight="1" thickBot="1">
      <c r="A8" s="183" t="s">
        <v>312</v>
      </c>
      <c r="B8" s="167">
        <v>20860</v>
      </c>
      <c r="C8" s="185">
        <v>1300</v>
      </c>
    </row>
    <row r="9" spans="1:3" ht="12.75" customHeight="1" thickTop="1">
      <c r="A9" s="186" t="s">
        <v>313</v>
      </c>
      <c r="B9" s="20">
        <f>SUM(B7:B8)</f>
        <v>46292</v>
      </c>
      <c r="C9" s="187">
        <f>SUM(C7:C8)</f>
        <v>2600</v>
      </c>
    </row>
    <row r="10" spans="1:3" ht="12.75" customHeight="1" thickBot="1">
      <c r="A10" s="188"/>
      <c r="B10" s="168"/>
      <c r="C10" s="189"/>
    </row>
    <row r="11" spans="1:3" s="15" customFormat="1" ht="12.75" customHeight="1" thickBot="1" thickTop="1">
      <c r="A11" s="190" t="s">
        <v>146</v>
      </c>
      <c r="B11" s="25">
        <f>SUM(B9,,B5,)</f>
        <v>73148</v>
      </c>
      <c r="C11" s="191"/>
    </row>
    <row r="12" ht="12.75" customHeight="1"/>
    <row r="13" ht="12.7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</sheetData>
  <sheetProtection/>
  <printOptions gridLines="1"/>
  <pageMargins left="0.25" right="0.25" top="1" bottom="1" header="0.5" footer="0.5"/>
  <pageSetup horizontalDpi="600" verticalDpi="600" orientation="landscape" paperSize="5" scale="95" r:id="rId1"/>
  <headerFooter alignWithMargins="0">
    <oddHeader>&amp;RMCGirts
 Cost Analysis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2" zoomScaleNormal="82" zoomScalePageLayoutView="0" workbookViewId="0" topLeftCell="A1">
      <selection activeCell="N43" sqref="N4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5"/>
  <sheetViews>
    <sheetView view="pageLayout" workbookViewId="0" topLeftCell="A19">
      <selection activeCell="H32" sqref="H32:H40"/>
    </sheetView>
  </sheetViews>
  <sheetFormatPr defaultColWidth="9.140625" defaultRowHeight="12.75"/>
  <cols>
    <col min="1" max="1" width="23.7109375" style="9" customWidth="1"/>
    <col min="2" max="2" width="17.28125" style="9" customWidth="1"/>
    <col min="3" max="3" width="8.00390625" style="9" bestFit="1" customWidth="1"/>
    <col min="4" max="4" width="17.421875" style="6" customWidth="1"/>
    <col min="5" max="5" width="7.140625" style="9" customWidth="1"/>
    <col min="6" max="6" width="16.8515625" style="9" hidden="1" customWidth="1"/>
    <col min="7" max="7" width="6.7109375" style="9" hidden="1" customWidth="1"/>
    <col min="8" max="8" width="19.00390625" style="6" bestFit="1" customWidth="1"/>
    <col min="9" max="9" width="9.00390625" style="9" bestFit="1" customWidth="1"/>
    <col min="10" max="10" width="8.7109375" style="9" customWidth="1"/>
    <col min="11" max="11" width="8.00390625" style="9" customWidth="1"/>
    <col min="12" max="12" width="17.28125" style="9" hidden="1" customWidth="1"/>
    <col min="13" max="13" width="7.00390625" style="9" hidden="1" customWidth="1"/>
    <col min="14" max="14" width="0.71875" style="9" customWidth="1"/>
    <col min="15" max="15" width="9.28125" style="9" bestFit="1" customWidth="1"/>
    <col min="16" max="16" width="7.421875" style="9" customWidth="1"/>
    <col min="17" max="17" width="8.57421875" style="9" customWidth="1"/>
    <col min="18" max="20" width="9.140625" style="9" customWidth="1"/>
    <col min="21" max="21" width="10.28125" style="9" customWidth="1"/>
    <col min="22" max="16384" width="9.140625" style="9" customWidth="1"/>
  </cols>
  <sheetData>
    <row r="1" spans="1:21" s="3" customFormat="1" ht="36" customHeight="1" thickBot="1">
      <c r="A1" s="1" t="s">
        <v>0</v>
      </c>
      <c r="B1" s="1" t="s">
        <v>277</v>
      </c>
      <c r="C1" s="1" t="s">
        <v>278</v>
      </c>
      <c r="D1" s="1" t="s">
        <v>145</v>
      </c>
      <c r="E1" s="1" t="s">
        <v>14</v>
      </c>
      <c r="F1" s="1" t="s">
        <v>30</v>
      </c>
      <c r="G1" s="1" t="s">
        <v>222</v>
      </c>
      <c r="H1" s="1" t="s">
        <v>242</v>
      </c>
      <c r="I1" s="1" t="s">
        <v>5</v>
      </c>
      <c r="J1" s="1" t="s">
        <v>4</v>
      </c>
      <c r="K1" s="1" t="s">
        <v>23</v>
      </c>
      <c r="L1" s="1" t="s">
        <v>159</v>
      </c>
      <c r="M1" s="1" t="s">
        <v>5</v>
      </c>
      <c r="N1" s="1"/>
      <c r="O1" s="1" t="s">
        <v>151</v>
      </c>
      <c r="P1" s="1" t="s">
        <v>29</v>
      </c>
      <c r="Q1" s="1" t="s">
        <v>3</v>
      </c>
      <c r="R1" s="1" t="s">
        <v>310</v>
      </c>
      <c r="S1" s="1" t="s">
        <v>308</v>
      </c>
      <c r="T1" s="1" t="s">
        <v>307</v>
      </c>
      <c r="U1" s="1" t="s">
        <v>146</v>
      </c>
    </row>
    <row r="2" spans="1:19" s="3" customFormat="1" ht="12.75" customHeight="1">
      <c r="A2" s="4" t="s">
        <v>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8" ht="12.75" customHeight="1">
      <c r="A3" s="5" t="s">
        <v>8</v>
      </c>
      <c r="B3" s="6" t="s">
        <v>295</v>
      </c>
      <c r="C3" s="143">
        <v>19166.4</v>
      </c>
      <c r="D3" s="6" t="s">
        <v>296</v>
      </c>
      <c r="E3" s="149">
        <v>1108</v>
      </c>
      <c r="F3" s="6"/>
      <c r="G3" s="7"/>
      <c r="I3" s="7"/>
      <c r="J3" s="143">
        <v>5504.4</v>
      </c>
      <c r="K3" s="143">
        <f>26.62*80</f>
        <v>2129.6</v>
      </c>
      <c r="L3" s="26"/>
      <c r="M3" s="7"/>
      <c r="N3" s="7"/>
      <c r="O3" s="7">
        <f>SUM(C3,E3,G3,I3,J3,K3,M3,N3)</f>
        <v>27908.4</v>
      </c>
      <c r="P3" s="7"/>
      <c r="Q3" s="7"/>
      <c r="R3" s="7"/>
    </row>
    <row r="4" spans="1:18" ht="12.75" customHeight="1">
      <c r="A4" s="5" t="s">
        <v>8</v>
      </c>
      <c r="B4" s="6" t="s">
        <v>295</v>
      </c>
      <c r="C4" s="143">
        <v>19166.4</v>
      </c>
      <c r="D4" s="6" t="s">
        <v>296</v>
      </c>
      <c r="E4" s="149">
        <v>1108</v>
      </c>
      <c r="F4" s="6"/>
      <c r="G4" s="7"/>
      <c r="I4" s="144"/>
      <c r="J4" s="143">
        <v>5504.4</v>
      </c>
      <c r="K4" s="143">
        <f>18.78*80</f>
        <v>1502.4</v>
      </c>
      <c r="L4" s="6"/>
      <c r="M4" s="7"/>
      <c r="N4" s="7"/>
      <c r="O4" s="7">
        <f>SUM(C4,E4,G4,I4,J4,K4,M4,N4)</f>
        <v>27281.200000000004</v>
      </c>
      <c r="P4" s="7"/>
      <c r="Q4" s="7"/>
      <c r="R4" s="7"/>
    </row>
    <row r="5" spans="2:20" ht="12.75" customHeight="1">
      <c r="B5" s="6"/>
      <c r="C5" s="7"/>
      <c r="D5" s="8"/>
      <c r="E5" s="8"/>
      <c r="F5" s="6"/>
      <c r="G5" s="7"/>
      <c r="H5" s="156" t="s">
        <v>298</v>
      </c>
      <c r="I5" s="143">
        <f>4*17.2*248</f>
        <v>17062.399999999998</v>
      </c>
      <c r="J5" s="158"/>
      <c r="K5" s="144"/>
      <c r="L5" s="6"/>
      <c r="M5" s="7"/>
      <c r="N5" s="7"/>
      <c r="O5" s="7"/>
      <c r="P5" s="7"/>
      <c r="Q5" s="7"/>
      <c r="R5" s="7"/>
      <c r="S5" s="7"/>
      <c r="T5" s="7"/>
    </row>
    <row r="6" spans="2:18" ht="12.75" customHeight="1">
      <c r="B6" s="6"/>
      <c r="C6" s="7"/>
      <c r="D6" s="8"/>
      <c r="E6" s="8"/>
      <c r="F6" s="6"/>
      <c r="G6" s="7"/>
      <c r="H6" s="156" t="s">
        <v>297</v>
      </c>
      <c r="I6" s="143">
        <f>8*16.93*248</f>
        <v>33589.12</v>
      </c>
      <c r="J6" s="158"/>
      <c r="K6" s="144"/>
      <c r="L6" s="6"/>
      <c r="M6" s="7"/>
      <c r="N6" s="7"/>
      <c r="O6" s="7"/>
      <c r="P6" s="7"/>
      <c r="Q6" s="7"/>
      <c r="R6" s="7"/>
    </row>
    <row r="7" spans="1:18" ht="12.75" customHeight="1">
      <c r="A7" s="9" t="s">
        <v>32</v>
      </c>
      <c r="B7" s="6"/>
      <c r="C7" s="7"/>
      <c r="D7" s="8"/>
      <c r="E7" s="8"/>
      <c r="F7" s="6"/>
      <c r="G7" s="7"/>
      <c r="H7" s="157"/>
      <c r="I7" s="143"/>
      <c r="J7" s="158"/>
      <c r="K7" s="144"/>
      <c r="L7" s="6"/>
      <c r="M7" s="7"/>
      <c r="N7" s="7"/>
      <c r="O7" s="7"/>
      <c r="P7" s="7"/>
      <c r="Q7" s="7"/>
      <c r="R7" s="7"/>
    </row>
    <row r="8" spans="1:21" ht="12.75" customHeight="1">
      <c r="A8" s="9" t="s">
        <v>32</v>
      </c>
      <c r="B8" s="6"/>
      <c r="C8" s="7"/>
      <c r="E8" s="8"/>
      <c r="F8" s="6"/>
      <c r="G8" s="7"/>
      <c r="H8" s="156" t="s">
        <v>299</v>
      </c>
      <c r="I8" s="143">
        <f>4*10.15*248</f>
        <v>10068.800000000001</v>
      </c>
      <c r="J8" s="7">
        <f>25*9.95*6</f>
        <v>1492.4999999999998</v>
      </c>
      <c r="K8" s="7"/>
      <c r="L8" s="6"/>
      <c r="M8" s="10"/>
      <c r="N8" s="7"/>
      <c r="O8" s="7">
        <f>SUM(C8,E8,G8,J8,K8,M8,N8)</f>
        <v>1492.4999999999998</v>
      </c>
      <c r="P8" s="7"/>
      <c r="Q8" s="7"/>
      <c r="R8" s="12"/>
      <c r="U8" s="7"/>
    </row>
    <row r="9" spans="1:21" ht="12.75" customHeight="1">
      <c r="A9" s="9" t="s">
        <v>32</v>
      </c>
      <c r="B9" s="6"/>
      <c r="C9" s="7"/>
      <c r="E9" s="8"/>
      <c r="F9" s="6"/>
      <c r="G9" s="7"/>
      <c r="H9" s="6" t="s">
        <v>300</v>
      </c>
      <c r="I9" s="143">
        <f>4*9.95*248</f>
        <v>9870.4</v>
      </c>
      <c r="J9" s="7">
        <f>25*9.95*6</f>
        <v>1492.4999999999998</v>
      </c>
      <c r="K9" s="7"/>
      <c r="L9" s="6"/>
      <c r="M9" s="10"/>
      <c r="N9" s="7"/>
      <c r="O9" s="7">
        <f>SUM(C9,E9,G9,I9,J9,K9,M9,N9)</f>
        <v>11362.9</v>
      </c>
      <c r="P9" s="7"/>
      <c r="Q9" s="7"/>
      <c r="R9" s="12"/>
      <c r="S9" s="15"/>
      <c r="T9" s="15"/>
      <c r="U9" s="15"/>
    </row>
    <row r="10" spans="1:21" ht="12.75" customHeight="1">
      <c r="A10" s="9" t="s">
        <v>13</v>
      </c>
      <c r="B10" s="6"/>
      <c r="C10" s="7"/>
      <c r="E10" s="7"/>
      <c r="F10" s="6"/>
      <c r="G10" s="7"/>
      <c r="I10" s="159"/>
      <c r="J10" s="144">
        <v>8291.24</v>
      </c>
      <c r="K10" s="144"/>
      <c r="L10" s="7"/>
      <c r="M10" s="7"/>
      <c r="N10" s="7"/>
      <c r="O10" s="7">
        <f aca="true" t="shared" si="0" ref="O10:O21">SUM(C10,E10,G10,I10,J10,K10,M10,N10)</f>
        <v>8291.24</v>
      </c>
      <c r="P10" s="7"/>
      <c r="Q10" s="7"/>
      <c r="R10" s="7"/>
      <c r="U10" s="41" t="s">
        <v>311</v>
      </c>
    </row>
    <row r="11" spans="1:21" ht="12.75" customHeight="1">
      <c r="A11" s="5" t="s">
        <v>31</v>
      </c>
      <c r="B11" s="6"/>
      <c r="C11" s="7">
        <v>300</v>
      </c>
      <c r="E11" s="8">
        <v>300</v>
      </c>
      <c r="F11" s="6"/>
      <c r="G11" s="7">
        <v>0</v>
      </c>
      <c r="I11" s="53"/>
      <c r="J11" s="143">
        <v>562.13</v>
      </c>
      <c r="K11" s="144"/>
      <c r="L11" s="7"/>
      <c r="M11" s="7">
        <v>0</v>
      </c>
      <c r="N11" s="7"/>
      <c r="O11" s="7"/>
      <c r="P11" s="7">
        <f>SUM(B11:O11)</f>
        <v>1162.13</v>
      </c>
      <c r="Q11" s="7"/>
      <c r="R11" s="7">
        <v>22439</v>
      </c>
      <c r="S11" s="7">
        <v>762</v>
      </c>
      <c r="T11" s="7">
        <v>88862.61</v>
      </c>
      <c r="U11" s="12">
        <f>SUM(Q12,R11,S11,T11)</f>
        <v>113225.74</v>
      </c>
    </row>
    <row r="12" spans="1:21" ht="12.75" customHeight="1">
      <c r="A12" s="11" t="s">
        <v>147</v>
      </c>
      <c r="B12" s="11"/>
      <c r="C12" s="12">
        <f>SUM(C3:C10)</f>
        <v>38332.8</v>
      </c>
      <c r="D12" s="11"/>
      <c r="E12" s="12">
        <f>SUM(E3:E10)</f>
        <v>2216</v>
      </c>
      <c r="F12" s="11"/>
      <c r="G12" s="12">
        <f>SUM(G3:G11)</f>
        <v>0</v>
      </c>
      <c r="H12" s="11"/>
      <c r="I12" s="12">
        <f>SUM(I3:I11)</f>
        <v>70590.72</v>
      </c>
      <c r="J12" s="12">
        <f>SUM(J3:J10)</f>
        <v>22285.04</v>
      </c>
      <c r="K12" s="148">
        <f>SUM(K3:K11)</f>
        <v>3632</v>
      </c>
      <c r="L12" s="12"/>
      <c r="M12" s="12">
        <f>SUM(M3:M11)</f>
        <v>0</v>
      </c>
      <c r="N12" s="12"/>
      <c r="O12" s="12">
        <f>SUM(C12,E12,G12,I12,J12,K12,M12,N12)</f>
        <v>137056.56</v>
      </c>
      <c r="P12" s="12">
        <f>SUM(P11)</f>
        <v>1162.13</v>
      </c>
      <c r="Q12" s="12">
        <f>SUM(P12)</f>
        <v>1162.13</v>
      </c>
      <c r="R12" s="12"/>
      <c r="S12" s="15"/>
      <c r="T12" s="15"/>
      <c r="U12" s="15"/>
    </row>
    <row r="13" spans="1:18" s="15" customFormat="1" ht="12.75" customHeight="1">
      <c r="A13" s="14" t="s">
        <v>148</v>
      </c>
      <c r="B13" s="6"/>
      <c r="C13" s="7"/>
      <c r="D13" s="6"/>
      <c r="E13" s="8"/>
      <c r="F13" s="6"/>
      <c r="G13" s="7"/>
      <c r="H13" s="6"/>
      <c r="I13" s="7"/>
      <c r="J13" s="12"/>
      <c r="K13" s="12"/>
      <c r="L13" s="12"/>
      <c r="M13" s="12"/>
      <c r="N13" s="12"/>
      <c r="O13" s="7"/>
      <c r="P13" s="12"/>
      <c r="Q13" s="12"/>
      <c r="R13" s="12"/>
    </row>
    <row r="14" spans="1:21" ht="12.75" customHeight="1">
      <c r="A14" s="9" t="s">
        <v>25</v>
      </c>
      <c r="B14" s="6"/>
      <c r="C14" s="7">
        <v>1113</v>
      </c>
      <c r="E14" s="8"/>
      <c r="F14" s="6"/>
      <c r="G14" s="7"/>
      <c r="I14" s="7"/>
      <c r="J14" s="7">
        <f>879*0.375</f>
        <v>329.625</v>
      </c>
      <c r="K14" s="7"/>
      <c r="L14" s="7"/>
      <c r="M14" s="7"/>
      <c r="N14" s="7"/>
      <c r="O14" s="7">
        <f t="shared" si="0"/>
        <v>1442.625</v>
      </c>
      <c r="P14" s="7"/>
      <c r="Q14" s="7"/>
      <c r="R14" s="12"/>
      <c r="S14" s="15"/>
      <c r="T14" s="15"/>
      <c r="U14" s="15"/>
    </row>
    <row r="15" spans="1:21" s="15" customFormat="1" ht="12.75" customHeight="1">
      <c r="A15" s="9" t="s">
        <v>24</v>
      </c>
      <c r="B15" s="6"/>
      <c r="C15" s="7"/>
      <c r="D15" s="6"/>
      <c r="E15" s="8"/>
      <c r="F15" s="6"/>
      <c r="G15" s="7"/>
      <c r="H15" s="6"/>
      <c r="I15" s="7"/>
      <c r="J15" s="7">
        <f>321*0.375</f>
        <v>120.375</v>
      </c>
      <c r="K15" s="12"/>
      <c r="L15" s="12"/>
      <c r="M15" s="12"/>
      <c r="N15" s="12"/>
      <c r="O15" s="7">
        <f t="shared" si="0"/>
        <v>120.375</v>
      </c>
      <c r="P15" s="12"/>
      <c r="Q15" s="12"/>
      <c r="R15" s="21"/>
      <c r="S15" s="21"/>
      <c r="T15" s="21"/>
      <c r="U15" s="21"/>
    </row>
    <row r="16" spans="1:17" s="15" customFormat="1" ht="12.75" customHeight="1">
      <c r="A16" s="9" t="s">
        <v>26</v>
      </c>
      <c r="B16" s="6"/>
      <c r="C16" s="7">
        <v>59</v>
      </c>
      <c r="D16" s="6"/>
      <c r="E16" s="8"/>
      <c r="F16" s="6"/>
      <c r="G16" s="7"/>
      <c r="H16" s="6"/>
      <c r="I16" s="7">
        <v>79</v>
      </c>
      <c r="J16" s="7">
        <f>748*0.375</f>
        <v>280.5</v>
      </c>
      <c r="K16" s="7"/>
      <c r="L16" s="7"/>
      <c r="M16" s="7"/>
      <c r="N16" s="12"/>
      <c r="O16" s="7">
        <f t="shared" si="0"/>
        <v>418.5</v>
      </c>
      <c r="P16" s="12"/>
      <c r="Q16" s="12"/>
    </row>
    <row r="17" spans="1:21" s="15" customFormat="1" ht="12.75" customHeight="1">
      <c r="A17" s="9" t="s">
        <v>28</v>
      </c>
      <c r="B17" s="6"/>
      <c r="C17" s="7">
        <v>229</v>
      </c>
      <c r="D17" s="6"/>
      <c r="E17" s="8"/>
      <c r="F17" s="6"/>
      <c r="G17" s="7"/>
      <c r="H17" s="6"/>
      <c r="I17" s="7"/>
      <c r="J17" s="7">
        <f>361*0.375</f>
        <v>135.375</v>
      </c>
      <c r="K17" s="7"/>
      <c r="L17" s="7"/>
      <c r="M17" s="7"/>
      <c r="N17" s="12"/>
      <c r="O17" s="7">
        <f t="shared" si="0"/>
        <v>364.375</v>
      </c>
      <c r="P17" s="12"/>
      <c r="Q17" s="12"/>
      <c r="R17" s="21"/>
      <c r="S17" s="21"/>
      <c r="T17" s="21"/>
      <c r="U17" s="21"/>
    </row>
    <row r="18" spans="1:21" s="15" customFormat="1" ht="12.75" customHeight="1">
      <c r="A18" s="9" t="s">
        <v>2</v>
      </c>
      <c r="B18" s="6"/>
      <c r="C18" s="7">
        <v>593</v>
      </c>
      <c r="D18" s="6"/>
      <c r="E18" s="8"/>
      <c r="F18" s="6"/>
      <c r="G18" s="7"/>
      <c r="H18" s="6"/>
      <c r="I18" s="7">
        <v>148</v>
      </c>
      <c r="J18" s="7">
        <f>693*0.375</f>
        <v>259.875</v>
      </c>
      <c r="K18" s="7"/>
      <c r="L18" s="7"/>
      <c r="M18" s="7"/>
      <c r="N18" s="7"/>
      <c r="O18" s="7">
        <f t="shared" si="0"/>
        <v>1000.875</v>
      </c>
      <c r="P18" s="12"/>
      <c r="Q18" s="12"/>
      <c r="R18" s="21"/>
      <c r="S18" s="21"/>
      <c r="T18" s="21"/>
      <c r="U18" s="21"/>
    </row>
    <row r="19" spans="1:17" s="21" customFormat="1" ht="12.75" customHeight="1">
      <c r="A19" s="16" t="s">
        <v>15</v>
      </c>
      <c r="B19" s="17"/>
      <c r="C19" s="18">
        <v>604</v>
      </c>
      <c r="D19" s="17"/>
      <c r="E19" s="19"/>
      <c r="F19" s="17"/>
      <c r="G19" s="18"/>
      <c r="H19" s="17"/>
      <c r="I19" s="18">
        <v>36</v>
      </c>
      <c r="J19" s="18">
        <f>805*0.375</f>
        <v>301.875</v>
      </c>
      <c r="K19" s="18"/>
      <c r="L19" s="18"/>
      <c r="M19" s="18"/>
      <c r="N19" s="18"/>
      <c r="O19" s="7">
        <f t="shared" si="0"/>
        <v>941.875</v>
      </c>
      <c r="P19" s="20"/>
      <c r="Q19" s="20"/>
    </row>
    <row r="20" spans="1:17" s="21" customFormat="1" ht="12.75" customHeight="1">
      <c r="A20" s="22" t="s">
        <v>147</v>
      </c>
      <c r="B20" s="17"/>
      <c r="C20" s="20">
        <f>SUM(C14:C19)</f>
        <v>2598</v>
      </c>
      <c r="D20" s="22"/>
      <c r="E20" s="20">
        <f>SUM(E15:E19)</f>
        <v>0</v>
      </c>
      <c r="F20" s="22"/>
      <c r="G20" s="20">
        <f>SUM(G14:G19)</f>
        <v>0</v>
      </c>
      <c r="H20" s="22"/>
      <c r="I20" s="20">
        <f>SUM(I14:I19)</f>
        <v>263</v>
      </c>
      <c r="J20" s="20">
        <f>SUM(J14:J19)</f>
        <v>1427.625</v>
      </c>
      <c r="K20" s="20">
        <f>SUM(K14:K19)</f>
        <v>0</v>
      </c>
      <c r="L20" s="20"/>
      <c r="M20" s="20">
        <f>SUM(M14:M19)</f>
        <v>0</v>
      </c>
      <c r="N20" s="20"/>
      <c r="O20" s="12">
        <f>SUM(O14:O19)</f>
        <v>4288.625</v>
      </c>
      <c r="P20" s="20">
        <f>SUM(P14:P19)</f>
        <v>0</v>
      </c>
      <c r="Q20" s="20"/>
    </row>
    <row r="21" spans="1:21" s="15" customFormat="1" ht="12.75" customHeight="1" thickBot="1">
      <c r="A21" s="24" t="s">
        <v>6</v>
      </c>
      <c r="B21" s="24"/>
      <c r="C21" s="25">
        <f>C12+C20</f>
        <v>40930.8</v>
      </c>
      <c r="D21" s="24"/>
      <c r="E21" s="25">
        <f>E12+E20</f>
        <v>2216</v>
      </c>
      <c r="F21" s="24"/>
      <c r="G21" s="25">
        <f>G12+G20</f>
        <v>0</v>
      </c>
      <c r="H21" s="24"/>
      <c r="I21" s="25">
        <f>I12+I20</f>
        <v>70853.72</v>
      </c>
      <c r="J21" s="25">
        <f>J12+J20</f>
        <v>23712.665</v>
      </c>
      <c r="K21" s="25">
        <f>K12+K20</f>
        <v>3632</v>
      </c>
      <c r="L21" s="25"/>
      <c r="M21" s="25">
        <f>M12+M20</f>
        <v>0</v>
      </c>
      <c r="N21" s="25">
        <f>N12+N20</f>
        <v>0</v>
      </c>
      <c r="O21" s="25">
        <f t="shared" si="0"/>
        <v>141345.185</v>
      </c>
      <c r="P21" s="25">
        <f>P12+P20</f>
        <v>1162.13</v>
      </c>
      <c r="Q21" s="25">
        <f>SUM(O21:P21)</f>
        <v>142507.315</v>
      </c>
      <c r="R21" s="25"/>
      <c r="S21" s="160"/>
      <c r="T21" s="160"/>
      <c r="U21" s="25">
        <f>SUM(Q21+R11+S11+T11)</f>
        <v>254570.925</v>
      </c>
    </row>
    <row r="22" spans="2:51" s="15" customFormat="1" ht="12.75" customHeight="1">
      <c r="B22" s="6"/>
      <c r="C22" s="7"/>
      <c r="D22" s="2" t="s">
        <v>322</v>
      </c>
      <c r="E22" s="8"/>
      <c r="F22" s="6"/>
      <c r="G22" s="7"/>
      <c r="H22" s="6"/>
      <c r="I22" s="7"/>
      <c r="J22" s="7"/>
      <c r="K22" s="7"/>
      <c r="L22" s="7"/>
      <c r="M22" s="7"/>
      <c r="N22" s="7"/>
      <c r="O22" s="7"/>
      <c r="P22" s="7"/>
      <c r="Q22" s="7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17" ht="12.75" customHeight="1">
      <c r="A23" s="9" t="s">
        <v>16</v>
      </c>
      <c r="B23" s="26"/>
      <c r="C23" s="7">
        <v>42228.48</v>
      </c>
      <c r="F23" s="6"/>
      <c r="G23" s="7"/>
      <c r="I23" s="7"/>
      <c r="N23" s="7"/>
      <c r="O23" s="12"/>
      <c r="P23" s="12"/>
      <c r="Q23" s="12"/>
    </row>
    <row r="24" spans="1:17" ht="12.75" customHeight="1">
      <c r="A24" s="9" t="s">
        <v>17</v>
      </c>
      <c r="B24" s="26"/>
      <c r="C24" s="7">
        <v>13135.78</v>
      </c>
      <c r="F24" s="6"/>
      <c r="G24" s="7"/>
      <c r="I24" s="7"/>
      <c r="N24" s="7"/>
      <c r="O24" s="7"/>
      <c r="P24" s="7"/>
      <c r="Q24" s="7"/>
    </row>
    <row r="25" spans="1:17" ht="12.75" customHeight="1">
      <c r="A25" s="9" t="s">
        <v>16</v>
      </c>
      <c r="B25" s="26"/>
      <c r="C25" s="7">
        <v>42228.48</v>
      </c>
      <c r="F25" s="6"/>
      <c r="G25" s="7"/>
      <c r="H25" s="11"/>
      <c r="I25" s="7"/>
      <c r="N25" s="7"/>
      <c r="O25" s="7"/>
      <c r="P25" s="7"/>
      <c r="Q25" s="7"/>
    </row>
    <row r="26" spans="1:17" ht="12.75" customHeight="1">
      <c r="A26" s="9" t="s">
        <v>17</v>
      </c>
      <c r="B26" s="26"/>
      <c r="C26" s="7">
        <v>13135.78</v>
      </c>
      <c r="F26" s="6"/>
      <c r="G26" s="7"/>
      <c r="I26" s="7"/>
      <c r="N26" s="7"/>
      <c r="O26" s="7"/>
      <c r="P26" s="7"/>
      <c r="Q26" s="7"/>
    </row>
    <row r="27" spans="1:17" ht="12.75" customHeight="1">
      <c r="A27" s="9" t="s">
        <v>328</v>
      </c>
      <c r="B27" s="26"/>
      <c r="C27" s="7">
        <v>24600</v>
      </c>
      <c r="F27" s="6"/>
      <c r="G27" s="7"/>
      <c r="I27" s="7"/>
      <c r="N27" s="7"/>
      <c r="O27" s="7"/>
      <c r="P27" s="7"/>
      <c r="Q27" s="7"/>
    </row>
    <row r="28" spans="2:17" ht="12.75" customHeight="1">
      <c r="B28" s="26"/>
      <c r="C28" s="7"/>
      <c r="F28" s="6"/>
      <c r="G28" s="7"/>
      <c r="I28" s="7"/>
      <c r="N28" s="7"/>
      <c r="O28" s="7"/>
      <c r="P28" s="7"/>
      <c r="Q28" s="7"/>
    </row>
    <row r="29" spans="1:17" ht="12.75" customHeight="1">
      <c r="A29" s="9" t="s">
        <v>240</v>
      </c>
      <c r="B29" s="26"/>
      <c r="C29" s="7">
        <v>20494</v>
      </c>
      <c r="D29" s="6">
        <v>1300</v>
      </c>
      <c r="F29" s="6"/>
      <c r="G29" s="7"/>
      <c r="I29" s="7"/>
      <c r="N29" s="7"/>
      <c r="O29" s="7"/>
      <c r="P29" s="7"/>
      <c r="Q29" s="7"/>
    </row>
    <row r="30" spans="1:17" ht="12.75" customHeight="1">
      <c r="A30" s="9" t="s">
        <v>240</v>
      </c>
      <c r="B30" s="26"/>
      <c r="C30" s="7">
        <v>21116.9</v>
      </c>
      <c r="D30" s="6">
        <v>1300</v>
      </c>
      <c r="F30" s="6"/>
      <c r="G30" s="7"/>
      <c r="I30" s="7"/>
      <c r="N30" s="7"/>
      <c r="O30" s="7"/>
      <c r="P30" s="7"/>
      <c r="Q30" s="7"/>
    </row>
    <row r="31" spans="1:17" ht="12.75" customHeight="1" thickBot="1">
      <c r="A31" s="9" t="s">
        <v>240</v>
      </c>
      <c r="B31" s="26"/>
      <c r="C31" s="7">
        <v>20494</v>
      </c>
      <c r="D31" s="172">
        <v>1300</v>
      </c>
      <c r="F31" s="6"/>
      <c r="G31" s="7"/>
      <c r="I31" s="7"/>
      <c r="N31" s="7"/>
      <c r="O31" s="7"/>
      <c r="P31" s="7"/>
      <c r="Q31" s="7"/>
    </row>
    <row r="32" spans="1:17" ht="12.75" customHeight="1" thickTop="1">
      <c r="A32" s="173" t="s">
        <v>323</v>
      </c>
      <c r="B32" s="26"/>
      <c r="C32" s="7"/>
      <c r="D32" s="11">
        <f>SUM(D29:D31)</f>
        <v>3900</v>
      </c>
      <c r="F32" s="6"/>
      <c r="G32" s="7"/>
      <c r="I32" s="7"/>
      <c r="N32" s="7"/>
      <c r="O32" s="7"/>
      <c r="P32" s="7"/>
      <c r="Q32" s="7"/>
    </row>
    <row r="33" spans="1:17" ht="12.75" customHeight="1">
      <c r="A33" s="9" t="s">
        <v>236</v>
      </c>
      <c r="B33" s="26"/>
      <c r="C33" s="7">
        <v>8291.24</v>
      </c>
      <c r="F33" s="6"/>
      <c r="G33" s="7"/>
      <c r="I33" s="7"/>
      <c r="N33" s="7"/>
      <c r="O33" s="7"/>
      <c r="P33" s="7"/>
      <c r="Q33" s="7"/>
    </row>
    <row r="34" spans="1:17" ht="12.75" customHeight="1">
      <c r="A34" s="9" t="s">
        <v>238</v>
      </c>
      <c r="B34" s="26"/>
      <c r="C34" s="7">
        <v>2501</v>
      </c>
      <c r="F34" s="6"/>
      <c r="G34" s="7"/>
      <c r="I34" s="7"/>
      <c r="N34" s="7"/>
      <c r="O34" s="7"/>
      <c r="P34" s="7"/>
      <c r="Q34" s="7"/>
    </row>
    <row r="35" spans="2:17" ht="12.75" customHeight="1">
      <c r="B35" s="26"/>
      <c r="C35" s="12">
        <f>SUM(C23:C34)</f>
        <v>208225.66</v>
      </c>
      <c r="F35" s="6"/>
      <c r="G35" s="7"/>
      <c r="I35" s="7"/>
      <c r="N35" s="7"/>
      <c r="O35" s="7"/>
      <c r="P35" s="7"/>
      <c r="Q35" s="7"/>
    </row>
    <row r="36" spans="1:17" ht="39" customHeight="1">
      <c r="A36" s="27" t="s">
        <v>225</v>
      </c>
      <c r="B36" s="26"/>
      <c r="C36" s="7">
        <f>C35-Q21</f>
        <v>65718.345</v>
      </c>
      <c r="F36" s="6"/>
      <c r="G36" s="7"/>
      <c r="I36" s="7"/>
      <c r="N36" s="7"/>
      <c r="O36" s="7"/>
      <c r="P36" s="7"/>
      <c r="Q36" s="7"/>
    </row>
    <row r="37" spans="1:17" s="3" customFormat="1" ht="30" customHeight="1">
      <c r="A37" s="28"/>
      <c r="B37" s="29"/>
      <c r="C37" s="29" t="s">
        <v>277</v>
      </c>
      <c r="D37" s="30"/>
      <c r="E37" s="30" t="s">
        <v>145</v>
      </c>
      <c r="F37" s="30"/>
      <c r="G37" s="29" t="s">
        <v>30</v>
      </c>
      <c r="H37" s="30"/>
      <c r="I37" s="29" t="s">
        <v>1</v>
      </c>
      <c r="J37" s="30" t="s">
        <v>4</v>
      </c>
      <c r="K37" s="30" t="s">
        <v>23</v>
      </c>
      <c r="L37" s="30"/>
      <c r="M37" s="30" t="s">
        <v>145</v>
      </c>
      <c r="N37" s="30"/>
      <c r="O37" s="31" t="s">
        <v>3</v>
      </c>
      <c r="P37" s="32"/>
      <c r="Q37" s="32"/>
    </row>
    <row r="38" spans="1:17" ht="12.75" customHeight="1">
      <c r="A38" s="33" t="s">
        <v>274</v>
      </c>
      <c r="B38" s="34"/>
      <c r="C38" s="35">
        <v>15</v>
      </c>
      <c r="D38" s="35"/>
      <c r="E38" s="35">
        <v>35</v>
      </c>
      <c r="F38" s="35"/>
      <c r="G38" s="35"/>
      <c r="H38" s="35"/>
      <c r="I38" s="36">
        <v>1123</v>
      </c>
      <c r="J38" s="36">
        <v>63</v>
      </c>
      <c r="K38" s="36">
        <v>20</v>
      </c>
      <c r="L38" s="36"/>
      <c r="M38" s="36"/>
      <c r="N38" s="36"/>
      <c r="O38" s="37">
        <f>SUM(C38:N38)</f>
        <v>1256</v>
      </c>
      <c r="P38" s="7"/>
      <c r="Q38" s="7"/>
    </row>
    <row r="39" spans="1:17" ht="12.75" customHeight="1">
      <c r="A39" s="33" t="s">
        <v>275</v>
      </c>
      <c r="B39" s="34"/>
      <c r="C39" s="35">
        <v>1254</v>
      </c>
      <c r="D39" s="35"/>
      <c r="E39" s="35">
        <v>2029</v>
      </c>
      <c r="F39" s="35"/>
      <c r="G39" s="35"/>
      <c r="H39" s="35"/>
      <c r="I39" s="36">
        <v>33751</v>
      </c>
      <c r="J39" s="36">
        <v>1416</v>
      </c>
      <c r="K39" s="36">
        <v>126</v>
      </c>
      <c r="L39" s="36"/>
      <c r="M39" s="36"/>
      <c r="N39" s="36"/>
      <c r="O39" s="37">
        <f>SUM(C39:N39)</f>
        <v>38576</v>
      </c>
      <c r="P39" s="7"/>
      <c r="Q39" s="7"/>
    </row>
    <row r="40" spans="1:17" ht="12.75" customHeight="1">
      <c r="A40" s="38" t="s">
        <v>276</v>
      </c>
      <c r="B40" s="26"/>
      <c r="C40" s="7">
        <f>C21/C38</f>
        <v>2728.7200000000003</v>
      </c>
      <c r="D40" s="26"/>
      <c r="E40" s="7">
        <f>E21/E38</f>
        <v>63.31428571428572</v>
      </c>
      <c r="F40" s="26"/>
      <c r="G40" s="7"/>
      <c r="H40" s="26"/>
      <c r="I40" s="7"/>
      <c r="J40" s="7">
        <f>J21/J38</f>
        <v>376.39150793650794</v>
      </c>
      <c r="K40" s="7"/>
      <c r="L40" s="7"/>
      <c r="M40" s="7"/>
      <c r="N40" s="7"/>
      <c r="O40" s="39"/>
      <c r="P40" s="7"/>
      <c r="Q40" s="7"/>
    </row>
    <row r="41" spans="1:17" ht="12.75" customHeight="1">
      <c r="A41" s="40"/>
      <c r="B41" s="41"/>
      <c r="C41" s="41"/>
      <c r="D41" s="42"/>
      <c r="E41" s="41"/>
      <c r="F41" s="42"/>
      <c r="G41" s="43"/>
      <c r="H41" s="42"/>
      <c r="I41" s="43"/>
      <c r="J41" s="41"/>
      <c r="K41" s="41"/>
      <c r="L41" s="41"/>
      <c r="M41" s="41"/>
      <c r="N41" s="43"/>
      <c r="O41" s="44"/>
      <c r="P41" s="18"/>
      <c r="Q41" s="18"/>
    </row>
    <row r="42" spans="1:17" ht="12.75" customHeight="1">
      <c r="A42" s="5"/>
      <c r="F42" s="6"/>
      <c r="G42" s="7"/>
      <c r="N42" s="45"/>
      <c r="O42" s="45"/>
      <c r="P42" s="45"/>
      <c r="Q42" s="45"/>
    </row>
    <row r="43" spans="1:17" ht="12.75" customHeight="1">
      <c r="A43" s="9" t="s">
        <v>155</v>
      </c>
      <c r="F43" s="6"/>
      <c r="G43" s="7"/>
      <c r="N43" s="45"/>
      <c r="O43" s="45"/>
      <c r="P43" s="45"/>
      <c r="Q43" s="45"/>
    </row>
    <row r="44" spans="1:17" ht="12.75" customHeight="1">
      <c r="A44" s="9" t="s">
        <v>149</v>
      </c>
      <c r="F44" s="6"/>
      <c r="G44" s="7"/>
      <c r="N44" s="45"/>
      <c r="O44" s="45"/>
      <c r="P44" s="45"/>
      <c r="Q44" s="45"/>
    </row>
    <row r="45" spans="6:17" ht="12.75" customHeight="1">
      <c r="F45" s="6"/>
      <c r="G45" s="7"/>
      <c r="N45" s="45"/>
      <c r="O45" s="45"/>
      <c r="P45" s="45"/>
      <c r="Q45" s="45"/>
    </row>
    <row r="46" spans="6:17" ht="12.75" customHeight="1">
      <c r="F46" s="6"/>
      <c r="G46" s="7"/>
      <c r="N46" s="45"/>
      <c r="O46" s="45"/>
      <c r="P46" s="45"/>
      <c r="Q46" s="45"/>
    </row>
    <row r="47" spans="6:17" ht="12.75" customHeight="1">
      <c r="F47" s="6"/>
      <c r="G47" s="7"/>
      <c r="N47" s="45"/>
      <c r="O47" s="45"/>
      <c r="P47" s="45"/>
      <c r="Q47" s="45"/>
    </row>
    <row r="48" spans="6:17" ht="10.5" customHeight="1">
      <c r="F48" s="6"/>
      <c r="G48" s="7"/>
      <c r="N48" s="45"/>
      <c r="O48" s="45"/>
      <c r="P48" s="45"/>
      <c r="Q48" s="45"/>
    </row>
    <row r="49" ht="9" customHeight="1">
      <c r="F49" s="6"/>
    </row>
    <row r="50" ht="9" customHeight="1">
      <c r="F50" s="6"/>
    </row>
    <row r="51" ht="9" customHeight="1">
      <c r="F51" s="6"/>
    </row>
    <row r="52" ht="12">
      <c r="F52" s="6"/>
    </row>
    <row r="53" ht="12">
      <c r="F53" s="6"/>
    </row>
    <row r="54" ht="12">
      <c r="F54" s="6"/>
    </row>
    <row r="55" ht="12">
      <c r="F55" s="6"/>
    </row>
    <row r="56" ht="12">
      <c r="F56" s="6"/>
    </row>
    <row r="57" ht="12">
      <c r="F57" s="6"/>
    </row>
    <row r="58" ht="12">
      <c r="F58" s="6"/>
    </row>
    <row r="59" ht="12">
      <c r="F59" s="6"/>
    </row>
    <row r="60" ht="12">
      <c r="F60" s="6"/>
    </row>
    <row r="61" ht="12">
      <c r="F61" s="6"/>
    </row>
    <row r="62" ht="12">
      <c r="F62" s="6"/>
    </row>
    <row r="63" ht="12">
      <c r="F63" s="6"/>
    </row>
    <row r="64" ht="12">
      <c r="F64" s="6"/>
    </row>
    <row r="65" ht="12">
      <c r="F65" s="6"/>
    </row>
    <row r="66" ht="12">
      <c r="F66" s="6"/>
    </row>
    <row r="67" ht="12">
      <c r="F67" s="6"/>
    </row>
    <row r="68" ht="12">
      <c r="F68" s="6"/>
    </row>
    <row r="69" ht="12">
      <c r="F69" s="6"/>
    </row>
    <row r="70" ht="12">
      <c r="F70" s="6"/>
    </row>
    <row r="71" ht="12">
      <c r="F71" s="6"/>
    </row>
    <row r="72" ht="12">
      <c r="F72" s="6"/>
    </row>
    <row r="73" ht="12">
      <c r="F73" s="6"/>
    </row>
    <row r="74" ht="12">
      <c r="F74" s="6"/>
    </row>
    <row r="75" ht="12">
      <c r="F75" s="6"/>
    </row>
  </sheetData>
  <sheetProtection/>
  <printOptions gridLines="1"/>
  <pageMargins left="0.7" right="0.7" top="0.75" bottom="0.75" header="0.3" footer="0.3"/>
  <pageSetup fitToHeight="1" fitToWidth="1" horizontalDpi="600" verticalDpi="600" orientation="landscape" paperSize="5" scale="82" r:id="rId1"/>
  <headerFooter>
    <oddHeader>&amp;RLegends Cost Analysis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view="pageLayout" zoomScaleNormal="125" workbookViewId="0" topLeftCell="A1">
      <selection activeCell="C2" sqref="C2:C9"/>
    </sheetView>
  </sheetViews>
  <sheetFormatPr defaultColWidth="9.140625" defaultRowHeight="12.75"/>
  <cols>
    <col min="1" max="1" width="23.57421875" style="9" customWidth="1"/>
    <col min="2" max="2" width="17.7109375" style="9" customWidth="1"/>
    <col min="3" max="16384" width="9.140625" style="9" customWidth="1"/>
  </cols>
  <sheetData>
    <row r="1" spans="1:3" s="3" customFormat="1" ht="36" customHeight="1" thickBot="1">
      <c r="A1" s="194" t="s">
        <v>320</v>
      </c>
      <c r="B1" s="195"/>
      <c r="C1" s="176"/>
    </row>
    <row r="2" spans="1:3" s="3" customFormat="1" ht="12.75" customHeight="1">
      <c r="A2" s="177" t="s">
        <v>310</v>
      </c>
      <c r="B2" s="18">
        <v>47413</v>
      </c>
      <c r="C2" s="176" t="s">
        <v>322</v>
      </c>
    </row>
    <row r="3" spans="1:3" ht="12.75" customHeight="1">
      <c r="A3" s="177" t="s">
        <v>308</v>
      </c>
      <c r="B3" s="18">
        <v>619</v>
      </c>
      <c r="C3" s="178"/>
    </row>
    <row r="4" spans="1:3" ht="12.75" customHeight="1" thickBot="1">
      <c r="A4" s="177" t="s">
        <v>307</v>
      </c>
      <c r="B4" s="169">
        <v>8029.09</v>
      </c>
      <c r="C4" s="179"/>
    </row>
    <row r="5" spans="1:3" ht="12.75" customHeight="1" thickTop="1">
      <c r="A5" s="180" t="s">
        <v>309</v>
      </c>
      <c r="B5" s="20">
        <f>SUM(B2:B4)</f>
        <v>56061.09</v>
      </c>
      <c r="C5" s="181"/>
    </row>
    <row r="6" spans="1:3" ht="12.75" customHeight="1">
      <c r="A6" s="182"/>
      <c r="B6" s="20"/>
      <c r="C6" s="181"/>
    </row>
    <row r="7" spans="1:3" ht="12.75" customHeight="1">
      <c r="A7" s="183" t="s">
        <v>321</v>
      </c>
      <c r="B7" s="142">
        <v>25432</v>
      </c>
      <c r="C7" s="184">
        <v>1300</v>
      </c>
    </row>
    <row r="8" spans="1:3" s="15" customFormat="1" ht="12.75" customHeight="1" thickBot="1">
      <c r="A8" s="183" t="s">
        <v>312</v>
      </c>
      <c r="B8" s="167">
        <v>20860</v>
      </c>
      <c r="C8" s="185">
        <v>1300</v>
      </c>
    </row>
    <row r="9" spans="1:3" ht="12.75" customHeight="1" thickTop="1">
      <c r="A9" s="186" t="s">
        <v>313</v>
      </c>
      <c r="B9" s="20">
        <f>SUM(B7:B8)</f>
        <v>46292</v>
      </c>
      <c r="C9" s="187">
        <f>SUM(C7:C8)</f>
        <v>2600</v>
      </c>
    </row>
    <row r="10" spans="1:3" s="15" customFormat="1" ht="12.75" customHeight="1" thickBot="1">
      <c r="A10" s="188"/>
      <c r="B10" s="168"/>
      <c r="C10" s="198"/>
    </row>
    <row r="11" spans="1:3" s="15" customFormat="1" ht="12.75" customHeight="1" thickBot="1" thickTop="1">
      <c r="A11" s="190" t="s">
        <v>146</v>
      </c>
      <c r="B11" s="25">
        <f>SUM(B9,,B5,)</f>
        <v>102353.09</v>
      </c>
      <c r="C11" s="191"/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0.5" customHeight="1"/>
    <row r="19" ht="10.5" customHeight="1"/>
  </sheetData>
  <sheetProtection/>
  <printOptions gridLines="1"/>
  <pageMargins left="0.25" right="0.25" top="1" bottom="1" header="0.5" footer="0.5"/>
  <pageSetup fitToHeight="1" fitToWidth="1" horizontalDpi="600" verticalDpi="600" orientation="landscape" paperSize="5" r:id="rId1"/>
  <headerFooter alignWithMargins="0">
    <oddHeader>&amp;ROceanway Cost Analysis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0"/>
  <sheetViews>
    <sheetView view="pageLayout" zoomScaleNormal="125" workbookViewId="0" topLeftCell="A4">
      <selection activeCell="C31" sqref="C31"/>
    </sheetView>
  </sheetViews>
  <sheetFormatPr defaultColWidth="9.140625" defaultRowHeight="12.75"/>
  <cols>
    <col min="1" max="1" width="23.57421875" style="9" customWidth="1"/>
    <col min="2" max="2" width="17.28125" style="9" customWidth="1"/>
    <col min="3" max="3" width="8.421875" style="9" customWidth="1"/>
    <col min="4" max="4" width="18.421875" style="9" customWidth="1"/>
    <col min="5" max="5" width="6.8515625" style="9" customWidth="1"/>
    <col min="6" max="6" width="16.140625" style="6" hidden="1" customWidth="1"/>
    <col min="7" max="7" width="7.421875" style="9" hidden="1" customWidth="1"/>
    <col min="8" max="8" width="7.57421875" style="9" customWidth="1"/>
    <col min="9" max="9" width="8.140625" style="9" customWidth="1"/>
    <col min="10" max="10" width="8.7109375" style="9" hidden="1" customWidth="1"/>
    <col min="11" max="11" width="6.7109375" style="9" hidden="1" customWidth="1"/>
    <col min="12" max="12" width="1.57421875" style="9" customWidth="1"/>
    <col min="13" max="13" width="10.28125" style="9" customWidth="1"/>
    <col min="14" max="14" width="7.28125" style="9" customWidth="1"/>
    <col min="15" max="15" width="7.7109375" style="9" bestFit="1" customWidth="1"/>
    <col min="16" max="18" width="9.140625" style="9" customWidth="1"/>
    <col min="19" max="19" width="10.140625" style="9" customWidth="1"/>
    <col min="20" max="16384" width="9.140625" style="9" customWidth="1"/>
  </cols>
  <sheetData>
    <row r="1" spans="1:19" s="3" customFormat="1" ht="36" customHeight="1" thickBot="1">
      <c r="A1" s="1" t="s">
        <v>0</v>
      </c>
      <c r="B1" s="1" t="s">
        <v>277</v>
      </c>
      <c r="C1" s="1" t="s">
        <v>278</v>
      </c>
      <c r="D1" s="1" t="s">
        <v>159</v>
      </c>
      <c r="E1" s="1" t="s">
        <v>161</v>
      </c>
      <c r="F1" s="1" t="s">
        <v>27</v>
      </c>
      <c r="G1" s="1" t="s">
        <v>22</v>
      </c>
      <c r="H1" s="1" t="s">
        <v>4</v>
      </c>
      <c r="I1" s="1" t="s">
        <v>23</v>
      </c>
      <c r="J1" s="1" t="s">
        <v>11</v>
      </c>
      <c r="K1" s="1" t="s">
        <v>14</v>
      </c>
      <c r="L1" s="1"/>
      <c r="M1" s="1" t="s">
        <v>151</v>
      </c>
      <c r="N1" s="1" t="s">
        <v>29</v>
      </c>
      <c r="O1" s="1" t="s">
        <v>3</v>
      </c>
      <c r="P1" s="1" t="s">
        <v>310</v>
      </c>
      <c r="Q1" s="1" t="s">
        <v>308</v>
      </c>
      <c r="R1" s="1" t="s">
        <v>307</v>
      </c>
      <c r="S1" s="1" t="s">
        <v>146</v>
      </c>
    </row>
    <row r="2" spans="1:17" s="3" customFormat="1" ht="12.75" customHeight="1">
      <c r="A2" s="4" t="s">
        <v>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6" ht="12.75" customHeight="1">
      <c r="A3" s="9" t="s">
        <v>293</v>
      </c>
      <c r="B3" s="6" t="s">
        <v>283</v>
      </c>
      <c r="C3" s="143">
        <v>14407</v>
      </c>
      <c r="D3" s="6" t="s">
        <v>325</v>
      </c>
      <c r="E3" s="143">
        <v>5954</v>
      </c>
      <c r="G3" s="7"/>
      <c r="H3" s="143">
        <v>4572.48</v>
      </c>
      <c r="I3" s="143">
        <f>17.45*80</f>
        <v>1396</v>
      </c>
      <c r="J3" s="6"/>
      <c r="K3" s="7"/>
      <c r="L3" s="7"/>
      <c r="M3" s="7">
        <f>SUM(C3,E3,G3,H3,I3,K3,L3)</f>
        <v>26329.48</v>
      </c>
      <c r="N3" s="7"/>
      <c r="O3" s="7"/>
      <c r="P3" s="7"/>
    </row>
    <row r="4" spans="1:16" ht="12.75" customHeight="1">
      <c r="A4" s="9" t="s">
        <v>293</v>
      </c>
      <c r="B4" s="6" t="s">
        <v>283</v>
      </c>
      <c r="C4" s="143">
        <v>14407</v>
      </c>
      <c r="D4" s="6"/>
      <c r="E4" s="143"/>
      <c r="G4" s="7"/>
      <c r="H4" s="143">
        <v>4606.8</v>
      </c>
      <c r="I4" s="143">
        <f>17.32*80</f>
        <v>1385.6</v>
      </c>
      <c r="J4" s="6"/>
      <c r="K4" s="7"/>
      <c r="L4" s="7"/>
      <c r="M4" s="7">
        <f>SUM(C4,E4,G4,H4,I4,K4,L4)</f>
        <v>20399.399999999998</v>
      </c>
      <c r="N4" s="7"/>
      <c r="O4" s="7"/>
      <c r="P4" s="7"/>
    </row>
    <row r="5" spans="2:18" ht="12.75" customHeight="1">
      <c r="B5" s="6"/>
      <c r="C5" s="143"/>
      <c r="D5" s="6"/>
      <c r="E5" s="143"/>
      <c r="G5" s="7"/>
      <c r="H5" s="144"/>
      <c r="I5" s="144"/>
      <c r="J5" s="6"/>
      <c r="K5" s="7"/>
      <c r="L5" s="7"/>
      <c r="M5" s="7"/>
      <c r="N5" s="7"/>
      <c r="O5" s="7"/>
      <c r="P5" s="7"/>
      <c r="Q5" s="7"/>
      <c r="R5" s="7"/>
    </row>
    <row r="6" spans="1:16" ht="12.75" customHeight="1">
      <c r="A6" s="9" t="s">
        <v>33</v>
      </c>
      <c r="B6" s="6"/>
      <c r="C6" s="144"/>
      <c r="D6" s="6" t="s">
        <v>301</v>
      </c>
      <c r="E6" s="143">
        <f>25*9.95*52</f>
        <v>12934.999999999998</v>
      </c>
      <c r="G6" s="7"/>
      <c r="H6" s="144"/>
      <c r="I6" s="144"/>
      <c r="J6" s="6"/>
      <c r="K6" s="7"/>
      <c r="L6" s="7"/>
      <c r="M6" s="7">
        <f>SUM(C6,E6,G6,H6,I6,K6,L6)</f>
        <v>12934.999999999998</v>
      </c>
      <c r="N6" s="7"/>
      <c r="O6" s="7"/>
      <c r="P6" s="7"/>
    </row>
    <row r="7" spans="1:19" ht="12.75" customHeight="1">
      <c r="A7" s="9" t="s">
        <v>13</v>
      </c>
      <c r="B7" s="6"/>
      <c r="C7" s="144"/>
      <c r="D7" s="6"/>
      <c r="E7" s="144"/>
      <c r="G7" s="7"/>
      <c r="H7" s="143">
        <v>13187</v>
      </c>
      <c r="I7" s="143"/>
      <c r="J7" s="7"/>
      <c r="K7" s="7"/>
      <c r="L7" s="7"/>
      <c r="M7" s="7">
        <f>SUM(C7,E7,G7,H7,I7,K7,L7)</f>
        <v>13187</v>
      </c>
      <c r="N7" s="7"/>
      <c r="O7" s="7"/>
      <c r="P7" s="7"/>
      <c r="S7" s="41" t="s">
        <v>311</v>
      </c>
    </row>
    <row r="8" spans="1:19" ht="12.75" customHeight="1">
      <c r="A8" s="5" t="s">
        <v>31</v>
      </c>
      <c r="B8" s="6"/>
      <c r="C8" s="7">
        <v>0</v>
      </c>
      <c r="D8" s="6"/>
      <c r="E8" s="7"/>
      <c r="G8" s="7"/>
      <c r="H8" s="143">
        <v>500.32</v>
      </c>
      <c r="I8" s="143">
        <v>0</v>
      </c>
      <c r="J8" s="7"/>
      <c r="K8" s="7"/>
      <c r="L8" s="7"/>
      <c r="M8" s="7"/>
      <c r="N8" s="7">
        <f>SUM(B8:M8)</f>
        <v>500.32</v>
      </c>
      <c r="O8" s="7"/>
      <c r="P8" s="7">
        <v>125817</v>
      </c>
      <c r="Q8" s="7">
        <v>652</v>
      </c>
      <c r="R8" s="7">
        <v>98958.68</v>
      </c>
      <c r="S8" s="12">
        <f>SUM(O9,P8,Q8,R8)</f>
        <v>225928</v>
      </c>
    </row>
    <row r="9" spans="1:19" ht="12.75" customHeight="1">
      <c r="A9" s="11" t="s">
        <v>147</v>
      </c>
      <c r="B9" s="11"/>
      <c r="C9" s="12">
        <f>SUM(C3:C8)</f>
        <v>28814</v>
      </c>
      <c r="D9" s="48"/>
      <c r="E9" s="12">
        <f>SUM(E3:E8)</f>
        <v>18889</v>
      </c>
      <c r="F9" s="11"/>
      <c r="G9" s="12">
        <f>SUM(G3:G8)</f>
        <v>0</v>
      </c>
      <c r="H9" s="148">
        <f>SUM(H3:H7)</f>
        <v>22366.28</v>
      </c>
      <c r="I9" s="148">
        <f>SUM(I3:I8)</f>
        <v>2781.6</v>
      </c>
      <c r="J9" s="12"/>
      <c r="K9" s="12">
        <f>SUM(K3:K8)</f>
        <v>0</v>
      </c>
      <c r="L9" s="12"/>
      <c r="M9" s="7">
        <f>SUM(C9,E9,G9,H9,I9,K9,L9)</f>
        <v>72850.88</v>
      </c>
      <c r="N9" s="12">
        <f>SUM(N8)</f>
        <v>500.32</v>
      </c>
      <c r="O9" s="12">
        <f>SUM(N9)</f>
        <v>500.32</v>
      </c>
      <c r="P9" s="12"/>
      <c r="Q9" s="15"/>
      <c r="R9" s="15"/>
      <c r="S9" s="15"/>
    </row>
    <row r="10" spans="1:19" s="15" customFormat="1" ht="12.75" customHeight="1">
      <c r="A10" s="14" t="s">
        <v>148</v>
      </c>
      <c r="B10" s="6"/>
      <c r="C10" s="7"/>
      <c r="D10" s="26"/>
      <c r="E10" s="7"/>
      <c r="F10" s="6"/>
      <c r="G10" s="7"/>
      <c r="H10" s="12"/>
      <c r="I10" s="12"/>
      <c r="J10" s="12"/>
      <c r="K10" s="12"/>
      <c r="L10" s="12"/>
      <c r="M10" s="7"/>
      <c r="N10" s="12"/>
      <c r="O10" s="12"/>
      <c r="P10" s="7"/>
      <c r="Q10" s="9"/>
      <c r="R10" s="9"/>
      <c r="S10" s="9"/>
    </row>
    <row r="11" spans="2:19" ht="12.75" customHeight="1">
      <c r="B11" s="6"/>
      <c r="C11" s="7"/>
      <c r="D11" s="26"/>
      <c r="E11" s="7"/>
      <c r="G11" s="7"/>
      <c r="H11" s="7"/>
      <c r="I11" s="7"/>
      <c r="J11" s="7"/>
      <c r="K11" s="7"/>
      <c r="L11" s="7"/>
      <c r="M11" s="7"/>
      <c r="N11" s="7"/>
      <c r="O11" s="7"/>
      <c r="P11" s="12"/>
      <c r="Q11" s="15"/>
      <c r="R11" s="15"/>
      <c r="S11" s="15"/>
    </row>
    <row r="12" spans="1:16" s="15" customFormat="1" ht="12.75" customHeight="1">
      <c r="A12" s="9"/>
      <c r="B12" s="6"/>
      <c r="C12" s="7"/>
      <c r="D12" s="26"/>
      <c r="E12" s="7"/>
      <c r="F12" s="6"/>
      <c r="G12" s="7"/>
      <c r="H12" s="7"/>
      <c r="I12" s="12"/>
      <c r="J12" s="12"/>
      <c r="K12" s="12"/>
      <c r="L12" s="12"/>
      <c r="M12" s="7"/>
      <c r="N12" s="12"/>
      <c r="O12" s="12"/>
      <c r="P12" s="12"/>
    </row>
    <row r="13" spans="1:16" s="15" customFormat="1" ht="12.75" customHeight="1">
      <c r="A13" s="9"/>
      <c r="B13" s="6"/>
      <c r="C13" s="7"/>
      <c r="D13" s="26"/>
      <c r="E13" s="7"/>
      <c r="F13" s="6"/>
      <c r="G13" s="7"/>
      <c r="H13" s="7"/>
      <c r="I13" s="7"/>
      <c r="J13" s="7"/>
      <c r="K13" s="7"/>
      <c r="L13" s="12"/>
      <c r="M13" s="7"/>
      <c r="N13" s="12"/>
      <c r="O13" s="12"/>
      <c r="P13" s="12"/>
    </row>
    <row r="14" spans="1:16" s="15" customFormat="1" ht="12.75" customHeight="1">
      <c r="A14" s="9" t="s">
        <v>28</v>
      </c>
      <c r="B14" s="6"/>
      <c r="C14" s="7">
        <v>296</v>
      </c>
      <c r="D14" s="26"/>
      <c r="E14" s="7"/>
      <c r="F14" s="6"/>
      <c r="G14" s="7"/>
      <c r="H14" s="7">
        <v>467</v>
      </c>
      <c r="I14" s="7">
        <v>164</v>
      </c>
      <c r="J14" s="7"/>
      <c r="K14" s="7"/>
      <c r="L14" s="12"/>
      <c r="M14" s="7">
        <f>SUM(C14,E14,G14,H14,I14,K14,L14)</f>
        <v>927</v>
      </c>
      <c r="N14" s="12"/>
      <c r="O14" s="12"/>
      <c r="P14" s="12"/>
    </row>
    <row r="15" spans="1:19" s="15" customFormat="1" ht="12.75" customHeight="1">
      <c r="A15" s="9"/>
      <c r="B15" s="6"/>
      <c r="C15" s="7"/>
      <c r="D15" s="26"/>
      <c r="E15" s="7"/>
      <c r="F15" s="6"/>
      <c r="G15" s="7"/>
      <c r="H15" s="7"/>
      <c r="I15" s="7"/>
      <c r="J15" s="7"/>
      <c r="K15" s="7"/>
      <c r="L15" s="7"/>
      <c r="M15" s="7"/>
      <c r="N15" s="12"/>
      <c r="O15" s="12"/>
      <c r="P15" s="21"/>
      <c r="Q15" s="21"/>
      <c r="R15" s="21"/>
      <c r="S15" s="21"/>
    </row>
    <row r="16" spans="1:15" s="21" customFormat="1" ht="12.75" customHeight="1">
      <c r="A16" s="16" t="s">
        <v>15</v>
      </c>
      <c r="B16" s="17"/>
      <c r="C16" s="18">
        <v>604</v>
      </c>
      <c r="D16" s="47"/>
      <c r="E16" s="18"/>
      <c r="F16" s="17"/>
      <c r="G16" s="18"/>
      <c r="H16" s="18">
        <v>805</v>
      </c>
      <c r="I16" s="18">
        <v>127</v>
      </c>
      <c r="J16" s="18"/>
      <c r="K16" s="18"/>
      <c r="L16" s="18"/>
      <c r="M16" s="7">
        <f>SUM(C16,E16,G16,H16,I16,K16,L16)</f>
        <v>1536</v>
      </c>
      <c r="N16" s="20"/>
      <c r="O16" s="20"/>
    </row>
    <row r="17" spans="1:15" s="21" customFormat="1" ht="12.75" customHeight="1">
      <c r="A17" s="22" t="s">
        <v>147</v>
      </c>
      <c r="B17" s="17"/>
      <c r="C17" s="20">
        <f>SUM(C11:C16)</f>
        <v>900</v>
      </c>
      <c r="D17" s="34"/>
      <c r="E17" s="20">
        <f>SUM(E12:E16)</f>
        <v>0</v>
      </c>
      <c r="F17" s="22"/>
      <c r="G17" s="20">
        <f>SUM(G11:G16)</f>
        <v>0</v>
      </c>
      <c r="H17" s="20">
        <f>SUM(H11:H16)</f>
        <v>1272</v>
      </c>
      <c r="I17" s="20">
        <f>SUM(I11:I16)</f>
        <v>291</v>
      </c>
      <c r="J17" s="20"/>
      <c r="K17" s="20">
        <f>SUM(K11:K16)</f>
        <v>0</v>
      </c>
      <c r="L17" s="20"/>
      <c r="M17" s="7">
        <f>SUM(C17,E17,G17,H17,I17,K17,L17)</f>
        <v>2463</v>
      </c>
      <c r="N17" s="20">
        <f>SUM(N11:N16)</f>
        <v>0</v>
      </c>
      <c r="O17" s="20"/>
    </row>
    <row r="18" spans="1:19" s="15" customFormat="1" ht="12.75" customHeight="1" thickBot="1">
      <c r="A18" s="24" t="s">
        <v>6</v>
      </c>
      <c r="B18" s="24"/>
      <c r="C18" s="25">
        <f>C9+C17</f>
        <v>29714</v>
      </c>
      <c r="D18" s="24"/>
      <c r="E18" s="25">
        <f>E9+E17</f>
        <v>18889</v>
      </c>
      <c r="F18" s="24"/>
      <c r="G18" s="25">
        <f>G9+G17</f>
        <v>0</v>
      </c>
      <c r="H18" s="25">
        <f>H9+H17</f>
        <v>23638.28</v>
      </c>
      <c r="I18" s="25">
        <f>I9+I17</f>
        <v>3072.6</v>
      </c>
      <c r="J18" s="25"/>
      <c r="K18" s="25">
        <f>K9+K17</f>
        <v>0</v>
      </c>
      <c r="L18" s="25"/>
      <c r="M18" s="54">
        <f>SUM(C18,E18,G18,H18,I18,K18,L18)</f>
        <v>75313.88</v>
      </c>
      <c r="N18" s="25">
        <f>N9+N17</f>
        <v>500.32</v>
      </c>
      <c r="O18" s="25">
        <f>SUM(M18:N18)</f>
        <v>75814.20000000001</v>
      </c>
      <c r="P18" s="25"/>
      <c r="Q18" s="160"/>
      <c r="R18" s="160"/>
      <c r="S18" s="25">
        <f>SUM(O18+P8+Q8+R8)</f>
        <v>301241.88</v>
      </c>
    </row>
    <row r="19" spans="1:15" s="15" customFormat="1" ht="12.75" customHeight="1">
      <c r="A19" s="22"/>
      <c r="B19" s="22"/>
      <c r="C19" s="20"/>
      <c r="D19" s="2" t="s">
        <v>322</v>
      </c>
      <c r="E19" s="20"/>
      <c r="F19" s="22"/>
      <c r="G19" s="20"/>
      <c r="H19" s="20"/>
      <c r="I19" s="20"/>
      <c r="J19" s="20"/>
      <c r="K19" s="20"/>
      <c r="L19" s="20"/>
      <c r="M19" s="20"/>
      <c r="N19" s="20"/>
      <c r="O19" s="20"/>
    </row>
    <row r="20" spans="2:49" s="15" customFormat="1" ht="12.75" customHeight="1">
      <c r="B20" s="6"/>
      <c r="C20" s="7"/>
      <c r="D20" s="6"/>
      <c r="E20" s="7"/>
      <c r="F20" s="6"/>
      <c r="G20" s="7"/>
      <c r="H20" s="7"/>
      <c r="I20" s="7"/>
      <c r="J20" s="7"/>
      <c r="K20" s="7"/>
      <c r="L20" s="7"/>
      <c r="M20" s="7"/>
      <c r="N20" s="7"/>
      <c r="O20" s="7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</row>
    <row r="21" spans="1:15" ht="12.75" customHeight="1">
      <c r="A21" s="9" t="s">
        <v>16</v>
      </c>
      <c r="B21" s="26"/>
      <c r="C21" s="7">
        <v>42228.48</v>
      </c>
      <c r="D21" s="6"/>
      <c r="E21" s="7"/>
      <c r="G21" s="7"/>
      <c r="L21" s="7"/>
      <c r="M21" s="12"/>
      <c r="N21" s="12"/>
      <c r="O21" s="12"/>
    </row>
    <row r="22" spans="1:15" ht="12.75" customHeight="1">
      <c r="A22" s="9" t="s">
        <v>17</v>
      </c>
      <c r="B22" s="26"/>
      <c r="C22" s="7">
        <v>13135.78</v>
      </c>
      <c r="D22" s="6"/>
      <c r="E22" s="7"/>
      <c r="G22" s="7"/>
      <c r="L22" s="7"/>
      <c r="M22" s="7"/>
      <c r="N22" s="7"/>
      <c r="O22" s="7"/>
    </row>
    <row r="23" spans="1:15" ht="12.75" customHeight="1">
      <c r="A23" s="9" t="s">
        <v>16</v>
      </c>
      <c r="B23" s="26"/>
      <c r="C23" s="7">
        <v>42228.48</v>
      </c>
      <c r="D23" s="6"/>
      <c r="E23" s="7"/>
      <c r="F23" s="11"/>
      <c r="G23" s="7"/>
      <c r="L23" s="7"/>
      <c r="M23" s="7"/>
      <c r="N23" s="7"/>
      <c r="O23" s="7"/>
    </row>
    <row r="24" spans="1:15" ht="12.75" customHeight="1">
      <c r="A24" s="9" t="s">
        <v>17</v>
      </c>
      <c r="B24" s="26"/>
      <c r="C24" s="7">
        <v>13135.78</v>
      </c>
      <c r="D24" s="6"/>
      <c r="E24" s="7"/>
      <c r="G24" s="7"/>
      <c r="L24" s="7"/>
      <c r="M24" s="7"/>
      <c r="N24" s="7"/>
      <c r="O24" s="7"/>
    </row>
    <row r="25" spans="1:15" ht="12.75" customHeight="1">
      <c r="A25" s="9" t="s">
        <v>328</v>
      </c>
      <c r="B25" s="26"/>
      <c r="C25" s="7">
        <v>24600</v>
      </c>
      <c r="D25" s="6"/>
      <c r="E25" s="7"/>
      <c r="G25" s="7"/>
      <c r="L25" s="7"/>
      <c r="M25" s="7"/>
      <c r="N25" s="7"/>
      <c r="O25" s="7"/>
    </row>
    <row r="26" spans="1:15" ht="12.75" customHeight="1" thickBot="1">
      <c r="A26" s="9" t="s">
        <v>241</v>
      </c>
      <c r="B26" s="26"/>
      <c r="C26" s="7">
        <v>20494</v>
      </c>
      <c r="D26" s="172">
        <v>1300</v>
      </c>
      <c r="E26" s="7"/>
      <c r="G26" s="7"/>
      <c r="L26" s="7"/>
      <c r="M26" s="7"/>
      <c r="N26" s="7"/>
      <c r="O26" s="7"/>
    </row>
    <row r="27" spans="1:15" ht="12.75" customHeight="1" thickTop="1">
      <c r="A27" s="173" t="s">
        <v>323</v>
      </c>
      <c r="B27" s="26"/>
      <c r="C27" s="7"/>
      <c r="D27" s="6">
        <f>SUM(D26)</f>
        <v>1300</v>
      </c>
      <c r="E27" s="7"/>
      <c r="G27" s="7"/>
      <c r="L27" s="7"/>
      <c r="M27" s="7"/>
      <c r="N27" s="7"/>
      <c r="O27" s="7"/>
    </row>
    <row r="28" spans="1:15" ht="12.75" customHeight="1">
      <c r="A28" s="9" t="s">
        <v>236</v>
      </c>
      <c r="B28" s="26"/>
      <c r="C28" s="7">
        <v>13187</v>
      </c>
      <c r="D28" s="6"/>
      <c r="E28" s="7"/>
      <c r="G28" s="7"/>
      <c r="L28" s="7"/>
      <c r="M28" s="7"/>
      <c r="N28" s="7"/>
      <c r="O28" s="7"/>
    </row>
    <row r="29" spans="1:15" ht="12.75" customHeight="1">
      <c r="A29" s="9" t="s">
        <v>238</v>
      </c>
      <c r="B29" s="26"/>
      <c r="C29" s="7">
        <v>7670</v>
      </c>
      <c r="D29" s="6"/>
      <c r="E29" s="7"/>
      <c r="G29" s="7"/>
      <c r="L29" s="7"/>
      <c r="M29" s="7"/>
      <c r="N29" s="7"/>
      <c r="O29" s="7"/>
    </row>
    <row r="30" spans="2:15" ht="12.75" customHeight="1">
      <c r="B30" s="26"/>
      <c r="C30" s="12">
        <f>SUM(C21:C29)</f>
        <v>176679.52000000002</v>
      </c>
      <c r="D30" s="6"/>
      <c r="E30" s="7"/>
      <c r="G30" s="7"/>
      <c r="L30" s="7"/>
      <c r="M30" s="7"/>
      <c r="N30" s="7"/>
      <c r="O30" s="7"/>
    </row>
    <row r="31" spans="1:15" ht="39" customHeight="1">
      <c r="A31" s="27" t="s">
        <v>225</v>
      </c>
      <c r="B31" s="26"/>
      <c r="C31" s="7">
        <f>C30-O18</f>
        <v>100865.32</v>
      </c>
      <c r="D31" s="6"/>
      <c r="E31" s="7"/>
      <c r="G31" s="7"/>
      <c r="L31" s="7"/>
      <c r="M31" s="7"/>
      <c r="N31" s="7"/>
      <c r="O31" s="7"/>
    </row>
    <row r="32" spans="1:15" s="3" customFormat="1" ht="30" customHeight="1">
      <c r="A32" s="28"/>
      <c r="B32" s="29"/>
      <c r="C32" s="29" t="s">
        <v>277</v>
      </c>
      <c r="D32" s="30"/>
      <c r="E32" s="29" t="s">
        <v>1</v>
      </c>
      <c r="F32" s="30"/>
      <c r="G32" s="29" t="s">
        <v>27</v>
      </c>
      <c r="H32" s="30" t="s">
        <v>4</v>
      </c>
      <c r="I32" s="30" t="s">
        <v>23</v>
      </c>
      <c r="J32" s="30"/>
      <c r="K32" s="30" t="s">
        <v>11</v>
      </c>
      <c r="L32" s="30"/>
      <c r="M32" s="31" t="s">
        <v>3</v>
      </c>
      <c r="N32" s="32"/>
      <c r="O32" s="32"/>
    </row>
    <row r="33" spans="1:15" ht="12.75" customHeight="1">
      <c r="A33" s="33" t="s">
        <v>274</v>
      </c>
      <c r="B33" s="34"/>
      <c r="C33" s="35">
        <v>25</v>
      </c>
      <c r="D33" s="35"/>
      <c r="E33" s="35">
        <v>250</v>
      </c>
      <c r="F33" s="35"/>
      <c r="G33" s="36"/>
      <c r="H33" s="36">
        <v>100</v>
      </c>
      <c r="I33" s="36">
        <v>32</v>
      </c>
      <c r="J33" s="36"/>
      <c r="K33" s="36"/>
      <c r="L33" s="36"/>
      <c r="M33" s="37">
        <f>SUM(B33:L33)</f>
        <v>407</v>
      </c>
      <c r="N33" s="7"/>
      <c r="O33" s="7"/>
    </row>
    <row r="34" spans="1:15" ht="12.75" customHeight="1">
      <c r="A34" s="33" t="s">
        <v>275</v>
      </c>
      <c r="B34" s="34"/>
      <c r="C34" s="35">
        <v>1946</v>
      </c>
      <c r="D34" s="35"/>
      <c r="E34" s="35">
        <v>19941</v>
      </c>
      <c r="F34" s="35"/>
      <c r="G34" s="36"/>
      <c r="H34" s="36">
        <v>1745</v>
      </c>
      <c r="I34" s="36">
        <v>248</v>
      </c>
      <c r="J34" s="36"/>
      <c r="K34" s="36"/>
      <c r="L34" s="36"/>
      <c r="M34" s="37">
        <f>SUM(B34:L34)</f>
        <v>23880</v>
      </c>
      <c r="N34" s="7"/>
      <c r="O34" s="7"/>
    </row>
    <row r="35" spans="1:15" ht="12.75" customHeight="1">
      <c r="A35" s="38" t="s">
        <v>276</v>
      </c>
      <c r="B35" s="26"/>
      <c r="C35" s="7">
        <f>C18/C33</f>
        <v>1188.56</v>
      </c>
      <c r="D35" s="26"/>
      <c r="E35" s="7">
        <f>E18/E33</f>
        <v>75.556</v>
      </c>
      <c r="F35" s="26"/>
      <c r="G35" s="7"/>
      <c r="H35" s="7">
        <f>H18/H33</f>
        <v>236.38279999999997</v>
      </c>
      <c r="I35" s="7">
        <f>I18/I33</f>
        <v>96.01875</v>
      </c>
      <c r="J35" s="7"/>
      <c r="K35" s="7"/>
      <c r="L35" s="7"/>
      <c r="M35" s="39"/>
      <c r="N35" s="7"/>
      <c r="O35" s="7"/>
    </row>
    <row r="36" spans="1:15" ht="12.75" customHeight="1">
      <c r="A36" s="40"/>
      <c r="B36" s="41"/>
      <c r="C36" s="41"/>
      <c r="D36" s="42"/>
      <c r="E36" s="43"/>
      <c r="F36" s="42"/>
      <c r="G36" s="43"/>
      <c r="H36" s="41"/>
      <c r="I36" s="41"/>
      <c r="J36" s="41"/>
      <c r="K36" s="41"/>
      <c r="L36" s="43"/>
      <c r="M36" s="44"/>
      <c r="N36" s="18"/>
      <c r="O36" s="18"/>
    </row>
    <row r="37" spans="1:15" ht="12.75" customHeight="1">
      <c r="A37" s="5"/>
      <c r="D37" s="6"/>
      <c r="E37" s="7"/>
      <c r="L37" s="45"/>
      <c r="M37" s="45"/>
      <c r="N37" s="45"/>
      <c r="O37" s="45"/>
    </row>
    <row r="38" spans="1:15" ht="12.75" customHeight="1">
      <c r="A38" s="9" t="s">
        <v>155</v>
      </c>
      <c r="D38" s="6"/>
      <c r="E38" s="7"/>
      <c r="L38" s="45"/>
      <c r="M38" s="45"/>
      <c r="N38" s="45"/>
      <c r="O38" s="45"/>
    </row>
    <row r="39" spans="1:15" ht="12.75" customHeight="1">
      <c r="A39" s="9" t="s">
        <v>149</v>
      </c>
      <c r="D39" s="6"/>
      <c r="E39" s="7"/>
      <c r="L39" s="45"/>
      <c r="M39" s="45"/>
      <c r="N39" s="45"/>
      <c r="O39" s="45"/>
    </row>
    <row r="40" spans="4:15" ht="12.75" customHeight="1">
      <c r="D40" s="6"/>
      <c r="E40" s="7"/>
      <c r="L40" s="45"/>
      <c r="M40" s="45"/>
      <c r="N40" s="45"/>
      <c r="O40" s="45"/>
    </row>
    <row r="41" spans="4:15" ht="12.75" customHeight="1">
      <c r="D41" s="6"/>
      <c r="E41" s="7"/>
      <c r="L41" s="45"/>
      <c r="M41" s="45"/>
      <c r="N41" s="45"/>
      <c r="O41" s="45"/>
    </row>
    <row r="42" spans="4:15" ht="12.75" customHeight="1">
      <c r="D42" s="6"/>
      <c r="E42" s="7"/>
      <c r="L42" s="45"/>
      <c r="M42" s="45"/>
      <c r="N42" s="45"/>
      <c r="O42" s="45"/>
    </row>
    <row r="43" spans="4:15" ht="12.75" customHeight="1">
      <c r="D43" s="6"/>
      <c r="E43" s="7"/>
      <c r="L43" s="45"/>
      <c r="M43" s="45"/>
      <c r="N43" s="45"/>
      <c r="O43" s="45"/>
    </row>
    <row r="44" ht="10.5" customHeight="1">
      <c r="D44" s="6"/>
    </row>
    <row r="45" ht="10.5" customHeight="1">
      <c r="D45" s="6"/>
    </row>
    <row r="46" ht="10.5" customHeight="1">
      <c r="D46" s="6"/>
    </row>
    <row r="47" ht="10.5" customHeight="1">
      <c r="D47" s="6"/>
    </row>
    <row r="48" ht="10.5" customHeight="1">
      <c r="D48" s="6"/>
    </row>
    <row r="49" ht="10.5" customHeight="1">
      <c r="D49" s="6"/>
    </row>
    <row r="50" ht="12">
      <c r="D50" s="6"/>
    </row>
    <row r="51" ht="12">
      <c r="D51" s="6"/>
    </row>
    <row r="52" ht="12">
      <c r="D52" s="6"/>
    </row>
    <row r="53" ht="12">
      <c r="D53" s="6"/>
    </row>
    <row r="54" ht="12">
      <c r="D54" s="6"/>
    </row>
    <row r="55" ht="12">
      <c r="D55" s="6"/>
    </row>
    <row r="56" ht="12">
      <c r="D56" s="6"/>
    </row>
    <row r="57" ht="12">
      <c r="D57" s="6"/>
    </row>
    <row r="58" ht="12">
      <c r="D58" s="6"/>
    </row>
    <row r="59" ht="12">
      <c r="D59" s="6"/>
    </row>
    <row r="60" ht="12">
      <c r="D60" s="6"/>
    </row>
    <row r="61" ht="12">
      <c r="D61" s="6"/>
    </row>
    <row r="62" ht="12">
      <c r="D62" s="6"/>
    </row>
    <row r="63" ht="12">
      <c r="D63" s="6"/>
    </row>
    <row r="64" ht="12">
      <c r="D64" s="6"/>
    </row>
    <row r="65" ht="12">
      <c r="D65" s="6"/>
    </row>
    <row r="66" ht="12">
      <c r="D66" s="6"/>
    </row>
    <row r="67" ht="12">
      <c r="D67" s="6"/>
    </row>
    <row r="68" ht="12">
      <c r="D68" s="6"/>
    </row>
    <row r="69" ht="12">
      <c r="D69" s="6"/>
    </row>
    <row r="70" ht="12">
      <c r="D70" s="6"/>
    </row>
  </sheetData>
  <sheetProtection/>
  <printOptions gridLines="1"/>
  <pageMargins left="0.25" right="0.25" top="1" bottom="1" header="0.5" footer="0.5"/>
  <pageSetup fitToHeight="1" fitToWidth="1" horizontalDpi="600" verticalDpi="600" orientation="landscape" paperSize="5" scale="85" r:id="rId1"/>
  <headerFooter alignWithMargins="0">
    <oddHeader>&amp;RKennedy Cost Analysis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view="pageLayout" zoomScaleNormal="125" workbookViewId="0" topLeftCell="A1">
      <selection activeCell="C2" sqref="C2:C9"/>
    </sheetView>
  </sheetViews>
  <sheetFormatPr defaultColWidth="9.140625" defaultRowHeight="12.75"/>
  <cols>
    <col min="1" max="1" width="27.7109375" style="9" customWidth="1"/>
    <col min="2" max="2" width="18.00390625" style="9" customWidth="1"/>
    <col min="3" max="16384" width="9.140625" style="9" customWidth="1"/>
  </cols>
  <sheetData>
    <row r="1" spans="1:3" s="3" customFormat="1" ht="36" customHeight="1" thickBot="1">
      <c r="A1" s="194" t="s">
        <v>314</v>
      </c>
      <c r="B1" s="195"/>
      <c r="C1" s="176"/>
    </row>
    <row r="2" spans="1:3" s="3" customFormat="1" ht="12.75" customHeight="1">
      <c r="A2" s="177" t="s">
        <v>310</v>
      </c>
      <c r="B2" s="18">
        <v>40363</v>
      </c>
      <c r="C2" s="176" t="s">
        <v>322</v>
      </c>
    </row>
    <row r="3" spans="1:3" ht="12.75" customHeight="1">
      <c r="A3" s="177" t="s">
        <v>308</v>
      </c>
      <c r="B3" s="18">
        <v>664</v>
      </c>
      <c r="C3" s="178"/>
    </row>
    <row r="4" spans="1:3" ht="12.75" customHeight="1" thickBot="1">
      <c r="A4" s="177" t="s">
        <v>307</v>
      </c>
      <c r="B4" s="169">
        <v>11552</v>
      </c>
      <c r="C4" s="179"/>
    </row>
    <row r="5" spans="1:3" ht="12.75" customHeight="1" thickTop="1">
      <c r="A5" s="180" t="s">
        <v>309</v>
      </c>
      <c r="B5" s="20">
        <f>SUM(B2:B4)</f>
        <v>52579</v>
      </c>
      <c r="C5" s="181"/>
    </row>
    <row r="6" spans="1:3" ht="12.75" customHeight="1">
      <c r="A6" s="182"/>
      <c r="B6" s="20"/>
      <c r="C6" s="181"/>
    </row>
    <row r="7" spans="1:3" ht="12.75" customHeight="1">
      <c r="A7" s="183" t="s">
        <v>321</v>
      </c>
      <c r="B7" s="142">
        <v>25432</v>
      </c>
      <c r="C7" s="184">
        <v>1300</v>
      </c>
    </row>
    <row r="8" spans="1:3" s="15" customFormat="1" ht="12.75" customHeight="1" thickBot="1">
      <c r="A8" s="183" t="s">
        <v>312</v>
      </c>
      <c r="B8" s="167">
        <v>20860</v>
      </c>
      <c r="C8" s="185">
        <v>1300</v>
      </c>
    </row>
    <row r="9" spans="1:3" ht="12.75" customHeight="1" thickTop="1">
      <c r="A9" s="186" t="s">
        <v>313</v>
      </c>
      <c r="B9" s="20">
        <f>SUM(B7:B8)</f>
        <v>46292</v>
      </c>
      <c r="C9" s="187">
        <f>SUM(C7:C8)</f>
        <v>2600</v>
      </c>
    </row>
    <row r="10" spans="1:3" s="15" customFormat="1" ht="12.75" customHeight="1" thickBot="1">
      <c r="A10" s="188"/>
      <c r="B10" s="168"/>
      <c r="C10" s="198"/>
    </row>
    <row r="11" spans="1:3" s="15" customFormat="1" ht="12.75" customHeight="1" thickBot="1" thickTop="1">
      <c r="A11" s="190" t="s">
        <v>146</v>
      </c>
      <c r="B11" s="25">
        <f>SUM(B9,,B5,)</f>
        <v>98871</v>
      </c>
      <c r="C11" s="191"/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9" customHeight="1"/>
  </sheetData>
  <sheetProtection/>
  <printOptions gridLines="1"/>
  <pageMargins left="0.25" right="0.25" top="1" bottom="1" header="0.5" footer="0.5"/>
  <pageSetup fitToHeight="1" fitToWidth="1" horizontalDpi="600" verticalDpi="600" orientation="landscape" paperSize="5" r:id="rId1"/>
  <headerFooter alignWithMargins="0">
    <oddHeader>&amp;RWindy Hill Cost Analysis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view="pageLayout" zoomScaleNormal="125" workbookViewId="0" topLeftCell="A1">
      <selection activeCell="H5" sqref="G5:H5"/>
    </sheetView>
  </sheetViews>
  <sheetFormatPr defaultColWidth="9.140625" defaultRowHeight="12.75"/>
  <cols>
    <col min="1" max="1" width="37.28125" style="9" customWidth="1"/>
    <col min="2" max="2" width="18.00390625" style="9" customWidth="1"/>
    <col min="3" max="16384" width="9.140625" style="9" customWidth="1"/>
  </cols>
  <sheetData>
    <row r="1" spans="1:3" s="3" customFormat="1" ht="36" customHeight="1" thickBot="1">
      <c r="A1" s="194" t="s">
        <v>314</v>
      </c>
      <c r="B1" s="195"/>
      <c r="C1" s="176"/>
    </row>
    <row r="2" spans="1:3" s="3" customFormat="1" ht="12.75" customHeight="1">
      <c r="A2" s="177" t="s">
        <v>310</v>
      </c>
      <c r="B2" s="18">
        <v>43791</v>
      </c>
      <c r="C2" s="176" t="s">
        <v>322</v>
      </c>
    </row>
    <row r="3" spans="1:3" ht="12.75" customHeight="1">
      <c r="A3" s="177" t="s">
        <v>308</v>
      </c>
      <c r="B3" s="18">
        <v>375</v>
      </c>
      <c r="C3" s="178"/>
    </row>
    <row r="4" spans="1:3" ht="12.75" customHeight="1" thickBot="1">
      <c r="A4" s="177" t="s">
        <v>307</v>
      </c>
      <c r="B4" s="169">
        <v>7272.73</v>
      </c>
      <c r="C4" s="179"/>
    </row>
    <row r="5" spans="1:3" ht="12.75" customHeight="1" thickTop="1">
      <c r="A5" s="180" t="s">
        <v>309</v>
      </c>
      <c r="B5" s="20">
        <f>SUM(B2:B4)</f>
        <v>51438.729999999996</v>
      </c>
      <c r="C5" s="181"/>
    </row>
    <row r="6" spans="1:3" ht="12.75" customHeight="1">
      <c r="A6" s="182"/>
      <c r="B6" s="20"/>
      <c r="C6" s="181"/>
    </row>
    <row r="7" spans="1:3" ht="12.75" customHeight="1">
      <c r="A7" s="183" t="s">
        <v>321</v>
      </c>
      <c r="B7" s="142">
        <v>25432</v>
      </c>
      <c r="C7" s="184">
        <v>1300</v>
      </c>
    </row>
    <row r="8" spans="1:3" s="15" customFormat="1" ht="12.75" customHeight="1" thickBot="1">
      <c r="A8" s="183" t="s">
        <v>312</v>
      </c>
      <c r="B8" s="167">
        <v>20860</v>
      </c>
      <c r="C8" s="185">
        <v>1300</v>
      </c>
    </row>
    <row r="9" spans="1:3" ht="12.75" customHeight="1" thickTop="1">
      <c r="A9" s="186" t="s">
        <v>313</v>
      </c>
      <c r="B9" s="20">
        <f>SUM(B7:B8)</f>
        <v>46292</v>
      </c>
      <c r="C9" s="187">
        <f>SUM(C7:C8)</f>
        <v>2600</v>
      </c>
    </row>
    <row r="10" spans="1:3" s="15" customFormat="1" ht="12.75" customHeight="1" thickBot="1">
      <c r="A10" s="188"/>
      <c r="B10" s="168"/>
      <c r="C10" s="198"/>
    </row>
    <row r="11" spans="1:3" s="15" customFormat="1" ht="12.75" customHeight="1" thickBot="1" thickTop="1">
      <c r="A11" s="190" t="s">
        <v>146</v>
      </c>
      <c r="B11" s="25">
        <f>SUM(B9,,B5,)</f>
        <v>97730.73</v>
      </c>
      <c r="C11" s="191"/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9" customHeight="1"/>
  </sheetData>
  <sheetProtection/>
  <printOptions gridLines="1"/>
  <pageMargins left="0.25" right="0.25" top="1" bottom="1" header="0.5" footer="0.5"/>
  <pageSetup fitToHeight="1" fitToWidth="1" horizontalDpi="600" verticalDpi="600" orientation="landscape" paperSize="5" r:id="rId1"/>
  <headerFooter alignWithMargins="0">
    <oddHeader>&amp;RMitchell Cost Analysis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view="pageLayout" zoomScaleNormal="125" workbookViewId="0" topLeftCell="A1">
      <selection activeCell="B2" sqref="B2"/>
    </sheetView>
  </sheetViews>
  <sheetFormatPr defaultColWidth="9.140625" defaultRowHeight="12.75"/>
  <cols>
    <col min="1" max="1" width="23.00390625" style="9" customWidth="1"/>
    <col min="2" max="2" width="9.7109375" style="9" customWidth="1"/>
    <col min="3" max="3" width="16.421875" style="6" hidden="1" customWidth="1"/>
    <col min="4" max="4" width="15.00390625" style="9" hidden="1" customWidth="1"/>
    <col min="5" max="5" width="14.28125" style="9" hidden="1" customWidth="1"/>
    <col min="6" max="6" width="0.13671875" style="9" customWidth="1"/>
    <col min="7" max="7" width="0.2890625" style="9" hidden="1" customWidth="1"/>
    <col min="8" max="8" width="8.28125" style="9" hidden="1" customWidth="1"/>
    <col min="9" max="9" width="17.140625" style="6" hidden="1" customWidth="1"/>
    <col min="10" max="10" width="0.13671875" style="9" hidden="1" customWidth="1"/>
    <col min="11" max="11" width="8.8515625" style="9" customWidth="1"/>
    <col min="12" max="16384" width="9.140625" style="9" customWidth="1"/>
  </cols>
  <sheetData>
    <row r="1" spans="1:11" s="3" customFormat="1" ht="36" customHeight="1" thickBot="1">
      <c r="A1" s="194" t="s">
        <v>314</v>
      </c>
      <c r="B1" s="195"/>
      <c r="C1" s="195"/>
      <c r="D1" s="195"/>
      <c r="E1" s="195"/>
      <c r="F1" s="195"/>
      <c r="G1" s="195"/>
      <c r="H1" s="195"/>
      <c r="I1" s="195"/>
      <c r="J1" s="195"/>
      <c r="K1" s="196"/>
    </row>
    <row r="2" spans="1:11" s="3" customFormat="1" ht="24.75" customHeight="1">
      <c r="A2" s="174" t="s">
        <v>310</v>
      </c>
      <c r="B2" s="175">
        <v>54292</v>
      </c>
      <c r="C2" s="192"/>
      <c r="D2" s="192"/>
      <c r="E2" s="192"/>
      <c r="F2" s="192"/>
      <c r="G2" s="192"/>
      <c r="H2" s="192"/>
      <c r="I2" s="192"/>
      <c r="J2" s="192"/>
      <c r="K2" s="176" t="s">
        <v>322</v>
      </c>
    </row>
    <row r="3" spans="1:11" ht="12.75" customHeight="1">
      <c r="A3" s="177" t="s">
        <v>308</v>
      </c>
      <c r="B3" s="18">
        <v>538</v>
      </c>
      <c r="C3" s="17"/>
      <c r="D3" s="18"/>
      <c r="E3" s="18"/>
      <c r="F3" s="18"/>
      <c r="G3" s="17"/>
      <c r="H3" s="18"/>
      <c r="I3" s="17"/>
      <c r="J3" s="18"/>
      <c r="K3" s="178"/>
    </row>
    <row r="4" spans="1:11" ht="12.75" customHeight="1" thickBot="1">
      <c r="A4" s="177" t="s">
        <v>307</v>
      </c>
      <c r="B4" s="166">
        <v>41394.98</v>
      </c>
      <c r="C4" s="17"/>
      <c r="D4" s="19"/>
      <c r="E4" s="19"/>
      <c r="F4" s="19"/>
      <c r="G4" s="17"/>
      <c r="H4" s="18"/>
      <c r="I4" s="17"/>
      <c r="J4" s="18"/>
      <c r="K4" s="179"/>
    </row>
    <row r="5" spans="1:11" ht="12.75" customHeight="1" thickTop="1">
      <c r="A5" s="180" t="s">
        <v>309</v>
      </c>
      <c r="B5" s="20">
        <f>SUM(B2:B4)</f>
        <v>96224.98000000001</v>
      </c>
      <c r="C5" s="22"/>
      <c r="D5" s="51"/>
      <c r="E5" s="23"/>
      <c r="F5" s="51"/>
      <c r="G5" s="22"/>
      <c r="H5" s="23"/>
      <c r="I5" s="22"/>
      <c r="J5" s="20"/>
      <c r="K5" s="181"/>
    </row>
    <row r="6" spans="1:11" ht="12.75" customHeight="1">
      <c r="A6" s="182"/>
      <c r="B6" s="20"/>
      <c r="C6" s="22"/>
      <c r="D6" s="51"/>
      <c r="E6" s="23"/>
      <c r="F6" s="51"/>
      <c r="G6" s="22"/>
      <c r="H6" s="23"/>
      <c r="I6" s="22"/>
      <c r="J6" s="20"/>
      <c r="K6" s="181"/>
    </row>
    <row r="7" spans="1:11" s="15" customFormat="1" ht="12.75" customHeight="1">
      <c r="A7" s="183" t="s">
        <v>321</v>
      </c>
      <c r="B7" s="142">
        <v>25432</v>
      </c>
      <c r="C7" s="17"/>
      <c r="D7" s="19"/>
      <c r="E7" s="19"/>
      <c r="F7" s="50"/>
      <c r="G7" s="17"/>
      <c r="H7" s="18"/>
      <c r="I7" s="17"/>
      <c r="J7" s="18"/>
      <c r="K7" s="184">
        <v>1300</v>
      </c>
    </row>
    <row r="8" spans="1:11" ht="12.75" customHeight="1" thickBot="1">
      <c r="A8" s="183" t="s">
        <v>312</v>
      </c>
      <c r="B8" s="167">
        <v>20860</v>
      </c>
      <c r="C8" s="17"/>
      <c r="D8" s="19"/>
      <c r="E8" s="19"/>
      <c r="F8" s="50"/>
      <c r="G8" s="17"/>
      <c r="H8" s="18"/>
      <c r="I8" s="17"/>
      <c r="J8" s="18"/>
      <c r="K8" s="185">
        <v>1300</v>
      </c>
    </row>
    <row r="9" spans="1:11" s="21" customFormat="1" ht="12.75" customHeight="1" thickTop="1">
      <c r="A9" s="186" t="s">
        <v>313</v>
      </c>
      <c r="B9" s="20">
        <f>SUM(B7:B8)</f>
        <v>46292</v>
      </c>
      <c r="C9" s="17"/>
      <c r="D9" s="19"/>
      <c r="E9" s="19"/>
      <c r="F9" s="50"/>
      <c r="G9" s="17"/>
      <c r="H9" s="18"/>
      <c r="I9" s="17"/>
      <c r="J9" s="18"/>
      <c r="K9" s="187">
        <f>SUM(K7:K8)</f>
        <v>2600</v>
      </c>
    </row>
    <row r="10" spans="1:11" s="21" customFormat="1" ht="12.75" customHeight="1" thickBot="1">
      <c r="A10" s="188"/>
      <c r="B10" s="168"/>
      <c r="C10" s="22"/>
      <c r="D10" s="51"/>
      <c r="E10" s="23"/>
      <c r="F10" s="51"/>
      <c r="G10" s="22"/>
      <c r="H10" s="20"/>
      <c r="I10" s="22"/>
      <c r="J10" s="20"/>
      <c r="K10" s="181"/>
    </row>
    <row r="11" spans="1:11" s="15" customFormat="1" ht="12.75" customHeight="1" thickBot="1" thickTop="1">
      <c r="A11" s="190" t="s">
        <v>146</v>
      </c>
      <c r="B11" s="25">
        <f>SUM(B9,,B5,)</f>
        <v>142516.98</v>
      </c>
      <c r="C11" s="24"/>
      <c r="D11" s="25">
        <f>D5+D10</f>
        <v>0</v>
      </c>
      <c r="E11" s="25"/>
      <c r="F11" s="25">
        <f>F5+F10</f>
        <v>0</v>
      </c>
      <c r="G11" s="24"/>
      <c r="H11" s="25">
        <f>H5+H10</f>
        <v>0</v>
      </c>
      <c r="I11" s="24"/>
      <c r="J11" s="25">
        <f>J5+J10</f>
        <v>0</v>
      </c>
      <c r="K11" s="193"/>
    </row>
    <row r="12" spans="1:11" s="15" customFormat="1" ht="12.75" customHeight="1">
      <c r="A12" s="22"/>
      <c r="B12" s="20"/>
      <c r="C12" s="22"/>
      <c r="D12" s="20"/>
      <c r="E12" s="20"/>
      <c r="F12" s="20"/>
      <c r="G12" s="22"/>
      <c r="H12" s="20"/>
      <c r="I12" s="22"/>
      <c r="J12" s="20"/>
      <c r="K12" s="20"/>
    </row>
    <row r="13" spans="1:11" ht="12.75" customHeight="1">
      <c r="A13" s="5"/>
      <c r="G13" s="6"/>
      <c r="H13" s="7"/>
      <c r="K13" s="45"/>
    </row>
    <row r="14" spans="1:11" ht="12.75" customHeight="1">
      <c r="A14" s="9" t="s">
        <v>155</v>
      </c>
      <c r="G14" s="6"/>
      <c r="H14" s="7"/>
      <c r="K14" s="45"/>
    </row>
    <row r="15" spans="1:11" ht="12.75" customHeight="1">
      <c r="A15" s="9" t="s">
        <v>149</v>
      </c>
      <c r="G15" s="6"/>
      <c r="H15" s="7"/>
      <c r="K15" s="45"/>
    </row>
    <row r="16" spans="7:11" ht="11.25" customHeight="1">
      <c r="G16" s="6"/>
      <c r="H16" s="7"/>
      <c r="K16" s="45"/>
    </row>
    <row r="17" spans="7:11" ht="10.5" customHeight="1">
      <c r="G17" s="6"/>
      <c r="H17" s="7"/>
      <c r="K17" s="45"/>
    </row>
    <row r="18" spans="7:11" ht="10.5" customHeight="1">
      <c r="G18" s="6"/>
      <c r="H18" s="7"/>
      <c r="K18" s="45"/>
    </row>
    <row r="19" spans="7:11" ht="10.5" customHeight="1">
      <c r="G19" s="6"/>
      <c r="H19" s="7"/>
      <c r="K19" s="45"/>
    </row>
    <row r="20" ht="10.5" customHeight="1">
      <c r="G20" s="6"/>
    </row>
    <row r="21" ht="10.5" customHeight="1">
      <c r="G21" s="6"/>
    </row>
    <row r="22" ht="9" customHeight="1">
      <c r="G22" s="6"/>
    </row>
    <row r="23" ht="12">
      <c r="G23" s="6"/>
    </row>
    <row r="24" ht="12">
      <c r="G24" s="6"/>
    </row>
    <row r="25" ht="12">
      <c r="G25" s="6"/>
    </row>
    <row r="26" ht="12">
      <c r="G26" s="6"/>
    </row>
    <row r="27" ht="12">
      <c r="G27" s="6"/>
    </row>
    <row r="28" ht="12">
      <c r="G28" s="6"/>
    </row>
    <row r="29" ht="12">
      <c r="G29" s="6"/>
    </row>
    <row r="30" ht="12">
      <c r="G30" s="6"/>
    </row>
    <row r="31" ht="12">
      <c r="G31" s="6"/>
    </row>
    <row r="32" ht="12">
      <c r="G32" s="6"/>
    </row>
    <row r="33" ht="12">
      <c r="G33" s="6"/>
    </row>
    <row r="34" ht="12">
      <c r="G34" s="6"/>
    </row>
    <row r="35" ht="12">
      <c r="G35" s="6"/>
    </row>
    <row r="36" ht="12">
      <c r="G36" s="6"/>
    </row>
    <row r="37" ht="12">
      <c r="G37" s="6"/>
    </row>
    <row r="38" ht="12">
      <c r="G38" s="6"/>
    </row>
    <row r="39" ht="12">
      <c r="G39" s="6"/>
    </row>
    <row r="40" ht="12">
      <c r="G40" s="6"/>
    </row>
    <row r="41" ht="12">
      <c r="G41" s="6"/>
    </row>
    <row r="42" ht="12">
      <c r="G42" s="6"/>
    </row>
    <row r="43" ht="12">
      <c r="G43" s="6"/>
    </row>
    <row r="44" ht="12">
      <c r="G44" s="6"/>
    </row>
    <row r="45" ht="12">
      <c r="G45" s="6"/>
    </row>
    <row r="46" ht="12">
      <c r="G46" s="6"/>
    </row>
  </sheetData>
  <sheetProtection/>
  <printOptions gridLines="1"/>
  <pageMargins left="0.25" right="0.25" top="1" bottom="1" header="0.5" footer="0.5"/>
  <pageSetup fitToHeight="1" fitToWidth="1" horizontalDpi="600" verticalDpi="600" orientation="landscape" paperSize="5" r:id="rId1"/>
  <headerFooter alignWithMargins="0">
    <oddHeader>&amp;RBalis:Cost Analysis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view="pageLayout" zoomScaleNormal="125" workbookViewId="0" topLeftCell="A1">
      <selection activeCell="F22" sqref="F22"/>
    </sheetView>
  </sheetViews>
  <sheetFormatPr defaultColWidth="9.140625" defaultRowHeight="12.75"/>
  <cols>
    <col min="1" max="1" width="27.140625" style="9" customWidth="1"/>
    <col min="2" max="2" width="17.7109375" style="9" bestFit="1" customWidth="1"/>
    <col min="3" max="3" width="7.140625" style="9" customWidth="1"/>
    <col min="4" max="4" width="18.140625" style="6" customWidth="1"/>
    <col min="5" max="5" width="7.421875" style="9" customWidth="1"/>
    <col min="6" max="6" width="18.00390625" style="6" customWidth="1"/>
    <col min="7" max="7" width="9.140625" style="9" customWidth="1"/>
    <col min="8" max="8" width="19.140625" style="9" hidden="1" customWidth="1"/>
    <col min="9" max="9" width="9.57421875" style="9" hidden="1" customWidth="1"/>
    <col min="10" max="10" width="2.28125" style="9" customWidth="1"/>
    <col min="11" max="11" width="11.8515625" style="9" customWidth="1"/>
    <col min="12" max="16" width="9.140625" style="9" customWidth="1"/>
    <col min="17" max="17" width="9.8515625" style="9" customWidth="1"/>
    <col min="18" max="16384" width="9.140625" style="9" customWidth="1"/>
  </cols>
  <sheetData>
    <row r="1" spans="1:17" s="3" customFormat="1" ht="37.5" customHeight="1" thickBot="1">
      <c r="A1" s="1" t="s">
        <v>0</v>
      </c>
      <c r="B1" s="1" t="s">
        <v>153</v>
      </c>
      <c r="C1" s="1" t="s">
        <v>154</v>
      </c>
      <c r="D1" s="1" t="s">
        <v>19</v>
      </c>
      <c r="E1" s="1" t="s">
        <v>20</v>
      </c>
      <c r="F1" s="1" t="s">
        <v>152</v>
      </c>
      <c r="G1" s="1" t="s">
        <v>10</v>
      </c>
      <c r="H1" s="1" t="s">
        <v>1</v>
      </c>
      <c r="I1" s="1" t="s">
        <v>5</v>
      </c>
      <c r="J1" s="1"/>
      <c r="K1" s="1" t="s">
        <v>151</v>
      </c>
      <c r="L1" s="1" t="s">
        <v>29</v>
      </c>
      <c r="M1" s="1" t="s">
        <v>3</v>
      </c>
      <c r="N1" s="1" t="s">
        <v>310</v>
      </c>
      <c r="O1" s="1" t="s">
        <v>308</v>
      </c>
      <c r="P1" s="1" t="s">
        <v>307</v>
      </c>
      <c r="Q1" s="1" t="s">
        <v>146</v>
      </c>
    </row>
    <row r="2" spans="1:15" s="3" customFormat="1" ht="12.75" customHeight="1">
      <c r="A2" s="4" t="s">
        <v>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4" ht="12.75" customHeight="1">
      <c r="A3" s="5" t="s">
        <v>8</v>
      </c>
      <c r="B3" s="6" t="s">
        <v>281</v>
      </c>
      <c r="C3" s="7">
        <v>3228</v>
      </c>
      <c r="D3" s="6" t="s">
        <v>292</v>
      </c>
      <c r="E3" s="26">
        <f>4*26.9*188</f>
        <v>20228.8</v>
      </c>
      <c r="F3" s="6" t="s">
        <v>282</v>
      </c>
      <c r="G3" s="7">
        <v>2582.4</v>
      </c>
      <c r="H3" s="6"/>
      <c r="I3" s="7"/>
      <c r="J3" s="7"/>
      <c r="K3" s="7">
        <f>SUM(C3,E3,G3,I3,J3)</f>
        <v>26039.2</v>
      </c>
      <c r="L3" s="7"/>
      <c r="M3" s="7"/>
      <c r="N3" s="7"/>
    </row>
    <row r="4" spans="1:17" ht="12.75" customHeight="1">
      <c r="A4" s="9" t="s">
        <v>315</v>
      </c>
      <c r="B4" s="6" t="s">
        <v>316</v>
      </c>
      <c r="C4" s="7">
        <v>1200</v>
      </c>
      <c r="D4" s="6" t="s">
        <v>317</v>
      </c>
      <c r="E4" s="26">
        <v>7520</v>
      </c>
      <c r="F4" s="6" t="s">
        <v>318</v>
      </c>
      <c r="G4" s="7">
        <v>960</v>
      </c>
      <c r="H4" s="6"/>
      <c r="I4" s="7"/>
      <c r="J4" s="7"/>
      <c r="K4" s="7">
        <f>SUM(C4,E4,G4,I4,J4)</f>
        <v>9680</v>
      </c>
      <c r="L4" s="7"/>
      <c r="M4" s="7"/>
      <c r="N4" s="7"/>
      <c r="Q4" s="41" t="s">
        <v>311</v>
      </c>
    </row>
    <row r="5" spans="1:17" ht="12.75" customHeight="1">
      <c r="A5" s="5" t="s">
        <v>31</v>
      </c>
      <c r="B5" s="6"/>
      <c r="C5" s="7">
        <v>650</v>
      </c>
      <c r="E5" s="7">
        <v>2738.72</v>
      </c>
      <c r="F5" s="26"/>
      <c r="G5" s="7">
        <v>824</v>
      </c>
      <c r="H5" s="6"/>
      <c r="I5" s="7"/>
      <c r="J5" s="7"/>
      <c r="K5" s="7"/>
      <c r="L5" s="7">
        <f>SUM(B5:K5)</f>
        <v>4212.719999999999</v>
      </c>
      <c r="M5" s="7"/>
      <c r="N5" s="7">
        <v>18172</v>
      </c>
      <c r="O5" s="7">
        <v>585</v>
      </c>
      <c r="P5" s="7">
        <v>11835.43</v>
      </c>
      <c r="Q5" s="12">
        <f>SUM(M6,N5,O5,P5)</f>
        <v>34805.15</v>
      </c>
    </row>
    <row r="6" spans="1:17" s="15" customFormat="1" ht="12.75" customHeight="1">
      <c r="A6" s="11" t="s">
        <v>147</v>
      </c>
      <c r="B6" s="11"/>
      <c r="C6" s="12">
        <f>SUM(C3:C4)</f>
        <v>4428</v>
      </c>
      <c r="D6" s="11"/>
      <c r="E6" s="12">
        <f>SUM(E3:E4)</f>
        <v>27748.8</v>
      </c>
      <c r="F6" s="48"/>
      <c r="G6" s="12">
        <f>SUM(G3:G4)</f>
        <v>3542.4</v>
      </c>
      <c r="H6" s="12"/>
      <c r="I6" s="12">
        <f>SUM(I3:I5)</f>
        <v>0</v>
      </c>
      <c r="J6" s="12"/>
      <c r="K6" s="7">
        <f>SUM(C6,E6,G6,I6,J6)</f>
        <v>35719.2</v>
      </c>
      <c r="L6" s="12">
        <f>SUM(L5)</f>
        <v>4212.719999999999</v>
      </c>
      <c r="M6" s="12">
        <f>SUM(L6)</f>
        <v>4212.719999999999</v>
      </c>
      <c r="N6" s="7"/>
      <c r="O6" s="9"/>
      <c r="P6" s="9"/>
      <c r="Q6" s="9"/>
    </row>
    <row r="7" spans="1:14" ht="12.75" customHeight="1">
      <c r="A7" s="14"/>
      <c r="B7" s="6"/>
      <c r="C7" s="7"/>
      <c r="E7" s="7"/>
      <c r="F7" s="26"/>
      <c r="G7" s="7"/>
      <c r="H7" s="6"/>
      <c r="I7" s="7"/>
      <c r="J7" s="12"/>
      <c r="K7" s="7"/>
      <c r="L7" s="12"/>
      <c r="M7" s="12"/>
      <c r="N7" s="7"/>
    </row>
    <row r="8" spans="1:17" s="21" customFormat="1" ht="12.75" customHeight="1">
      <c r="A8" s="9"/>
      <c r="B8" s="6"/>
      <c r="C8" s="7"/>
      <c r="D8" s="6"/>
      <c r="E8" s="7"/>
      <c r="F8" s="26"/>
      <c r="G8" s="7"/>
      <c r="H8" s="6"/>
      <c r="I8" s="7"/>
      <c r="J8" s="7"/>
      <c r="K8" s="7"/>
      <c r="L8" s="7"/>
      <c r="M8" s="7"/>
      <c r="N8" s="12"/>
      <c r="O8" s="9"/>
      <c r="P8" s="9"/>
      <c r="Q8" s="7"/>
    </row>
    <row r="9" spans="1:14" s="15" customFormat="1" ht="12.75" customHeight="1">
      <c r="A9" s="9"/>
      <c r="B9" s="6"/>
      <c r="C9" s="7"/>
      <c r="D9" s="6"/>
      <c r="E9" s="7"/>
      <c r="F9" s="26"/>
      <c r="G9" s="7"/>
      <c r="H9" s="6"/>
      <c r="I9" s="7"/>
      <c r="J9" s="12"/>
      <c r="K9" s="7"/>
      <c r="L9" s="12"/>
      <c r="M9" s="12"/>
      <c r="N9" s="12"/>
    </row>
    <row r="10" spans="2:14" ht="12.75" customHeight="1">
      <c r="B10" s="6"/>
      <c r="C10" s="7"/>
      <c r="D10" s="52"/>
      <c r="E10" s="7"/>
      <c r="F10" s="26"/>
      <c r="G10" s="7"/>
      <c r="H10" s="6"/>
      <c r="I10" s="7"/>
      <c r="J10" s="12"/>
      <c r="K10" s="7"/>
      <c r="L10" s="12"/>
      <c r="M10" s="12"/>
      <c r="N10" s="7"/>
    </row>
    <row r="11" spans="2:17" ht="12.75" customHeight="1">
      <c r="B11" s="6"/>
      <c r="C11" s="7"/>
      <c r="E11" s="7"/>
      <c r="F11" s="26"/>
      <c r="G11" s="7"/>
      <c r="H11" s="6"/>
      <c r="I11" s="7"/>
      <c r="J11" s="12"/>
      <c r="K11" s="7">
        <f>SUM(C11,E11,G11,I11,J11)</f>
        <v>0</v>
      </c>
      <c r="L11" s="12"/>
      <c r="M11" s="12"/>
      <c r="N11" s="12"/>
      <c r="O11" s="15"/>
      <c r="P11" s="15"/>
      <c r="Q11" s="15"/>
    </row>
    <row r="12" spans="2:17" ht="12.75" customHeight="1">
      <c r="B12" s="6"/>
      <c r="C12" s="7"/>
      <c r="E12" s="7"/>
      <c r="F12" s="26"/>
      <c r="G12" s="7"/>
      <c r="H12" s="6"/>
      <c r="I12" s="7"/>
      <c r="J12" s="7"/>
      <c r="K12" s="7">
        <f>SUM(C12,E12,G12,I12,J12)</f>
        <v>0</v>
      </c>
      <c r="L12" s="12"/>
      <c r="M12" s="12"/>
      <c r="N12" s="12"/>
      <c r="O12" s="15"/>
      <c r="P12" s="15"/>
      <c r="Q12" s="15"/>
    </row>
    <row r="13" spans="1:17" ht="12.75" customHeight="1">
      <c r="A13" s="16"/>
      <c r="B13" s="17"/>
      <c r="C13" s="18"/>
      <c r="D13" s="17"/>
      <c r="E13" s="18"/>
      <c r="F13" s="47"/>
      <c r="G13" s="18"/>
      <c r="H13" s="17"/>
      <c r="I13" s="18"/>
      <c r="J13" s="18"/>
      <c r="K13" s="7">
        <f>SUM(C13,E13,G13,I13,J13)</f>
        <v>0</v>
      </c>
      <c r="L13" s="20"/>
      <c r="M13" s="20"/>
      <c r="N13" s="12"/>
      <c r="O13" s="15"/>
      <c r="P13" s="15"/>
      <c r="Q13" s="15"/>
    </row>
    <row r="14" spans="1:17" ht="12.75" customHeight="1">
      <c r="A14" s="22" t="s">
        <v>147</v>
      </c>
      <c r="B14" s="17"/>
      <c r="C14" s="20">
        <f>SUM(C8:C13)</f>
        <v>0</v>
      </c>
      <c r="D14" s="22"/>
      <c r="E14" s="20">
        <f>SUM(E9:E13)</f>
        <v>0</v>
      </c>
      <c r="F14" s="34"/>
      <c r="G14" s="20">
        <f>SUM(G9:G13)</f>
        <v>0</v>
      </c>
      <c r="H14" s="20"/>
      <c r="I14" s="20">
        <v>0</v>
      </c>
      <c r="J14" s="20"/>
      <c r="K14" s="12">
        <f>SUM(K8:K13)</f>
        <v>0</v>
      </c>
      <c r="L14" s="20">
        <f>SUM(L8:L13)</f>
        <v>0</v>
      </c>
      <c r="M14" s="20"/>
      <c r="N14" s="12"/>
      <c r="O14" s="15"/>
      <c r="P14" s="15"/>
      <c r="Q14" s="15"/>
    </row>
    <row r="15" spans="1:17" s="16" customFormat="1" ht="12.75" customHeight="1" thickBot="1">
      <c r="A15" s="24" t="s">
        <v>6</v>
      </c>
      <c r="B15" s="24"/>
      <c r="C15" s="25">
        <f>C6+C14</f>
        <v>4428</v>
      </c>
      <c r="D15" s="24"/>
      <c r="E15" s="25">
        <f>E6+E14</f>
        <v>27748.8</v>
      </c>
      <c r="F15" s="49"/>
      <c r="G15" s="25">
        <f>G6+G14</f>
        <v>3542.4</v>
      </c>
      <c r="H15" s="25"/>
      <c r="I15" s="25">
        <f>I6+I14</f>
        <v>0</v>
      </c>
      <c r="J15" s="25"/>
      <c r="K15" s="54">
        <f>SUM(C15,E15,G15,I15,J15)</f>
        <v>35719.2</v>
      </c>
      <c r="L15" s="25">
        <f>L6+L14</f>
        <v>4212.719999999999</v>
      </c>
      <c r="M15" s="25">
        <f>SUM(K15:L15)</f>
        <v>39931.92</v>
      </c>
      <c r="N15" s="25"/>
      <c r="O15" s="160"/>
      <c r="P15" s="160"/>
      <c r="Q15" s="25">
        <f>SUM(M15+N5+O5+P5)</f>
        <v>70524.35</v>
      </c>
    </row>
    <row r="16" spans="1:17" ht="12.75" customHeight="1">
      <c r="A16" s="15"/>
      <c r="B16" s="6"/>
      <c r="C16" s="7"/>
      <c r="D16" s="6" t="s">
        <v>322</v>
      </c>
      <c r="E16" s="8"/>
      <c r="G16" s="7"/>
      <c r="H16" s="6"/>
      <c r="I16" s="7"/>
      <c r="J16" s="7"/>
      <c r="K16" s="7"/>
      <c r="L16" s="7"/>
      <c r="M16" s="7"/>
      <c r="N16" s="20"/>
      <c r="O16" s="21"/>
      <c r="P16" s="21"/>
      <c r="Q16" s="21"/>
    </row>
    <row r="17" spans="1:17" ht="12.75" customHeight="1">
      <c r="A17" s="9" t="s">
        <v>16</v>
      </c>
      <c r="B17" s="26"/>
      <c r="C17" s="7">
        <v>40384.44</v>
      </c>
      <c r="G17" s="7"/>
      <c r="H17" s="6"/>
      <c r="I17" s="7"/>
      <c r="J17" s="7"/>
      <c r="K17" s="12"/>
      <c r="L17" s="12"/>
      <c r="M17" s="12"/>
      <c r="N17" s="20"/>
      <c r="O17" s="21"/>
      <c r="P17" s="21"/>
      <c r="Q17" s="20"/>
    </row>
    <row r="18" spans="1:13" ht="12.75" customHeight="1">
      <c r="A18" s="9" t="s">
        <v>17</v>
      </c>
      <c r="B18" s="26"/>
      <c r="C18" s="7">
        <v>15560.3</v>
      </c>
      <c r="G18" s="7"/>
      <c r="H18" s="6"/>
      <c r="I18" s="7"/>
      <c r="J18" s="7"/>
      <c r="K18" s="7"/>
      <c r="L18" s="7"/>
      <c r="M18" s="7"/>
    </row>
    <row r="19" spans="1:13" ht="12.75" customHeight="1" thickBot="1">
      <c r="A19" s="9" t="s">
        <v>235</v>
      </c>
      <c r="B19" s="26"/>
      <c r="C19" s="7">
        <v>20858</v>
      </c>
      <c r="D19" s="172">
        <v>1300</v>
      </c>
      <c r="G19" s="7"/>
      <c r="H19" s="11"/>
      <c r="I19" s="7"/>
      <c r="J19" s="7"/>
      <c r="K19" s="7"/>
      <c r="L19" s="7"/>
      <c r="M19" s="7"/>
    </row>
    <row r="20" spans="1:13" ht="12.75" customHeight="1" thickTop="1">
      <c r="A20" s="173" t="s">
        <v>323</v>
      </c>
      <c r="B20" s="26"/>
      <c r="C20" s="7"/>
      <c r="D20" s="6">
        <f>SUM(D19)</f>
        <v>1300</v>
      </c>
      <c r="G20" s="7"/>
      <c r="H20" s="6"/>
      <c r="I20" s="7"/>
      <c r="J20" s="7"/>
      <c r="K20" s="7"/>
      <c r="L20" s="7"/>
      <c r="M20" s="7"/>
    </row>
    <row r="21" spans="2:13" ht="12.75" customHeight="1">
      <c r="B21" s="26"/>
      <c r="C21" s="7"/>
      <c r="G21" s="7"/>
      <c r="H21" s="6"/>
      <c r="I21" s="7"/>
      <c r="J21" s="7"/>
      <c r="K21" s="7"/>
      <c r="L21" s="7"/>
      <c r="M21" s="7"/>
    </row>
    <row r="22" spans="2:13" ht="12.75" customHeight="1">
      <c r="B22" s="26"/>
      <c r="C22" s="12">
        <f>SUM(C17:C21)</f>
        <v>76802.74</v>
      </c>
      <c r="G22" s="7"/>
      <c r="H22" s="6"/>
      <c r="I22" s="7"/>
      <c r="J22" s="7"/>
      <c r="K22" s="7"/>
      <c r="L22" s="7"/>
      <c r="M22" s="7"/>
    </row>
    <row r="23" spans="1:13" ht="39" customHeight="1">
      <c r="A23" s="27" t="s">
        <v>225</v>
      </c>
      <c r="B23" s="26"/>
      <c r="C23" s="7">
        <f>C22-M15</f>
        <v>36870.82000000001</v>
      </c>
      <c r="G23" s="7"/>
      <c r="H23" s="6"/>
      <c r="I23" s="7"/>
      <c r="J23" s="7"/>
      <c r="K23" s="7"/>
      <c r="L23" s="7"/>
      <c r="M23" s="7"/>
    </row>
    <row r="24" spans="1:16" ht="12.75" customHeight="1">
      <c r="A24" s="5"/>
      <c r="G24" s="7"/>
      <c r="H24" s="6"/>
      <c r="J24" s="45"/>
      <c r="K24" s="45"/>
      <c r="L24" s="45"/>
      <c r="M24" s="45"/>
      <c r="N24" s="46"/>
      <c r="O24" s="46"/>
      <c r="P24" s="46"/>
    </row>
    <row r="25" spans="1:16" ht="12.75" customHeight="1">
      <c r="A25" s="9" t="s">
        <v>155</v>
      </c>
      <c r="G25" s="7"/>
      <c r="H25" s="6"/>
      <c r="J25" s="45"/>
      <c r="K25" s="45"/>
      <c r="L25" s="45"/>
      <c r="M25" s="45"/>
      <c r="N25" s="46"/>
      <c r="O25" s="46"/>
      <c r="P25" s="46"/>
    </row>
    <row r="26" spans="1:16" ht="12.75" customHeight="1">
      <c r="A26" s="9" t="s">
        <v>149</v>
      </c>
      <c r="G26" s="7"/>
      <c r="H26" s="6"/>
      <c r="J26" s="45"/>
      <c r="K26" s="45"/>
      <c r="L26" s="45"/>
      <c r="M26" s="45"/>
      <c r="N26" s="46"/>
      <c r="O26" s="46"/>
      <c r="P26" s="46"/>
    </row>
    <row r="27" spans="1:16" ht="12.75" customHeight="1">
      <c r="A27" s="9" t="s">
        <v>228</v>
      </c>
      <c r="B27" s="35"/>
      <c r="C27" s="36"/>
      <c r="D27" s="35"/>
      <c r="E27" s="36"/>
      <c r="F27" s="35"/>
      <c r="G27" s="36"/>
      <c r="H27" s="36"/>
      <c r="I27" s="36"/>
      <c r="J27" s="35"/>
      <c r="K27" s="35"/>
      <c r="L27" s="46"/>
      <c r="M27" s="46"/>
      <c r="N27" s="46"/>
      <c r="O27" s="46"/>
      <c r="P27" s="46"/>
    </row>
    <row r="28" spans="1:16" s="16" customFormat="1" ht="12.75" customHeight="1">
      <c r="A28" s="9"/>
      <c r="B28" s="35"/>
      <c r="C28" s="36"/>
      <c r="D28" s="35"/>
      <c r="E28" s="36"/>
      <c r="F28" s="35"/>
      <c r="G28" s="36"/>
      <c r="H28" s="36"/>
      <c r="I28" s="36"/>
      <c r="J28" s="47"/>
      <c r="K28" s="47"/>
      <c r="L28" s="47"/>
      <c r="M28" s="47"/>
      <c r="N28" s="47"/>
      <c r="O28" s="47"/>
      <c r="P28" s="47"/>
    </row>
    <row r="29" spans="2:10" ht="12.75" customHeight="1">
      <c r="B29" s="26"/>
      <c r="G29" s="7"/>
      <c r="I29" s="7"/>
      <c r="J29" s="7"/>
    </row>
    <row r="30" spans="7:10" ht="12.75" customHeight="1">
      <c r="G30" s="7"/>
      <c r="I30" s="7"/>
      <c r="J30" s="7"/>
    </row>
    <row r="31" spans="7:10" ht="10.5" customHeight="1">
      <c r="G31" s="7"/>
      <c r="I31" s="7"/>
      <c r="J31" s="7"/>
    </row>
    <row r="32" spans="7:10" ht="10.5" customHeight="1">
      <c r="G32" s="7"/>
      <c r="I32" s="7"/>
      <c r="J32" s="7"/>
    </row>
    <row r="33" spans="7:10" ht="10.5" customHeight="1">
      <c r="G33" s="7"/>
      <c r="I33" s="7"/>
      <c r="J33" s="7"/>
    </row>
    <row r="34" spans="9:10" ht="10.5" customHeight="1">
      <c r="I34" s="45"/>
      <c r="J34" s="45"/>
    </row>
    <row r="35" spans="9:10" ht="10.5" customHeight="1">
      <c r="I35" s="45"/>
      <c r="J35" s="45"/>
    </row>
    <row r="36" spans="9:10" ht="10.5" customHeight="1">
      <c r="I36" s="45"/>
      <c r="J36" s="45"/>
    </row>
    <row r="37" spans="9:10" ht="10.5" customHeight="1">
      <c r="I37" s="45"/>
      <c r="J37" s="45"/>
    </row>
    <row r="38" spans="9:10" ht="10.5" customHeight="1">
      <c r="I38" s="45"/>
      <c r="J38" s="45"/>
    </row>
    <row r="39" spans="9:10" ht="10.5" customHeight="1">
      <c r="I39" s="45"/>
      <c r="J39" s="45"/>
    </row>
    <row r="40" ht="9" customHeight="1"/>
    <row r="41" ht="9" customHeight="1"/>
    <row r="42" ht="9" customHeight="1"/>
  </sheetData>
  <sheetProtection/>
  <printOptions gridLines="1"/>
  <pageMargins left="0.25" right="0.25" top="1" bottom="1" header="0.5" footer="0.5"/>
  <pageSetup fitToHeight="1" fitToWidth="1" horizontalDpi="600" verticalDpi="600" orientation="landscape" paperSize="5" r:id="rId1"/>
  <headerFooter alignWithMargins="0">
    <oddHeader>&amp;RBethesda: Cost Analysis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view="pageLayout" zoomScaleNormal="125" workbookViewId="0" topLeftCell="A1">
      <selection activeCell="M5" sqref="M5"/>
    </sheetView>
  </sheetViews>
  <sheetFormatPr defaultColWidth="9.140625" defaultRowHeight="12.75"/>
  <cols>
    <col min="1" max="1" width="25.140625" style="9" customWidth="1"/>
    <col min="2" max="2" width="19.00390625" style="9" customWidth="1"/>
    <col min="3" max="16384" width="9.140625" style="9" customWidth="1"/>
  </cols>
  <sheetData>
    <row r="1" spans="1:2" s="3" customFormat="1" ht="36" customHeight="1" thickBot="1">
      <c r="A1" s="2" t="s">
        <v>314</v>
      </c>
      <c r="B1" s="2"/>
    </row>
    <row r="2" spans="1:3" s="3" customFormat="1" ht="12.75" customHeight="1">
      <c r="A2" s="174" t="s">
        <v>310</v>
      </c>
      <c r="B2" s="175">
        <v>53924</v>
      </c>
      <c r="C2" s="176" t="s">
        <v>322</v>
      </c>
    </row>
    <row r="3" spans="1:3" ht="12.75" customHeight="1">
      <c r="A3" s="177" t="s">
        <v>308</v>
      </c>
      <c r="B3" s="18">
        <v>669</v>
      </c>
      <c r="C3" s="178"/>
    </row>
    <row r="4" spans="1:3" ht="12.75" customHeight="1" thickBot="1">
      <c r="A4" s="177" t="s">
        <v>307</v>
      </c>
      <c r="B4" s="166">
        <v>11689</v>
      </c>
      <c r="C4" s="179"/>
    </row>
    <row r="5" spans="1:3" ht="12.75" customHeight="1" thickTop="1">
      <c r="A5" s="180" t="s">
        <v>309</v>
      </c>
      <c r="B5" s="20">
        <f>SUM(B2:B4)</f>
        <v>66282</v>
      </c>
      <c r="C5" s="181"/>
    </row>
    <row r="6" spans="1:3" ht="12.75" customHeight="1">
      <c r="A6" s="182"/>
      <c r="B6" s="20"/>
      <c r="C6" s="181"/>
    </row>
    <row r="7" spans="1:3" ht="12.75" customHeight="1">
      <c r="A7" s="183" t="s">
        <v>321</v>
      </c>
      <c r="B7" s="142">
        <v>25432</v>
      </c>
      <c r="C7" s="184">
        <v>1300</v>
      </c>
    </row>
    <row r="8" spans="1:3" ht="12.75" customHeight="1" thickBot="1">
      <c r="A8" s="183" t="s">
        <v>312</v>
      </c>
      <c r="B8" s="167">
        <v>20860</v>
      </c>
      <c r="C8" s="185">
        <v>1300</v>
      </c>
    </row>
    <row r="9" spans="1:3" s="15" customFormat="1" ht="12.75" customHeight="1" thickTop="1">
      <c r="A9" s="186" t="s">
        <v>313</v>
      </c>
      <c r="B9" s="20">
        <f>SUM(B7:B8)</f>
        <v>46292</v>
      </c>
      <c r="C9" s="187">
        <f>SUM(C7:C8)</f>
        <v>2600</v>
      </c>
    </row>
    <row r="10" spans="1:3" ht="12.75" customHeight="1" thickBot="1">
      <c r="A10" s="188"/>
      <c r="B10" s="168"/>
      <c r="C10" s="189"/>
    </row>
    <row r="11" spans="1:3" s="15" customFormat="1" ht="12.75" customHeight="1" thickBot="1" thickTop="1">
      <c r="A11" s="190" t="s">
        <v>146</v>
      </c>
      <c r="B11" s="25">
        <f>SUM(B9,,B5,)</f>
        <v>112574</v>
      </c>
      <c r="C11" s="191"/>
    </row>
    <row r="12" spans="1:2" s="15" customFormat="1" ht="12.75" customHeight="1">
      <c r="A12" s="22"/>
      <c r="B12" s="20"/>
    </row>
    <row r="13" spans="1:2" s="15" customFormat="1" ht="12.75" customHeight="1">
      <c r="A13" s="5"/>
      <c r="B13" s="9"/>
    </row>
    <row r="14" s="15" customFormat="1" ht="12.75" customHeight="1"/>
    <row r="15" s="21" customFormat="1" ht="12.75" customHeight="1"/>
    <row r="16" s="21" customFormat="1" ht="12.75" customHeight="1"/>
    <row r="17" s="15" customFormat="1" ht="12.75" customHeight="1"/>
    <row r="18" spans="1:29" s="15" customFormat="1" ht="12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39" customHeight="1"/>
    <row r="29" s="3" customFormat="1" ht="30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0.5" customHeight="1"/>
    <row r="42" ht="10.5" customHeight="1"/>
    <row r="43" ht="10.5" customHeight="1"/>
  </sheetData>
  <sheetProtection/>
  <printOptions gridLines="1"/>
  <pageMargins left="0.25" right="0.25" top="1" bottom="0.5" header="0.5" footer="0.5"/>
  <pageSetup fitToHeight="1" fitToWidth="1" horizontalDpi="600" verticalDpi="600" orientation="landscape" paperSize="5" r:id="rId1"/>
  <headerFooter alignWithMargins="0">
    <oddHeader>&amp;RBlue Cypress: Cost Analysis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view="pageLayout" zoomScaleNormal="125" workbookViewId="0" topLeftCell="A1">
      <selection activeCell="C2" sqref="C2:C9"/>
    </sheetView>
  </sheetViews>
  <sheetFormatPr defaultColWidth="9.140625" defaultRowHeight="12.75"/>
  <cols>
    <col min="1" max="1" width="25.140625" style="9" customWidth="1"/>
    <col min="2" max="2" width="19.00390625" style="9" customWidth="1"/>
    <col min="3" max="16384" width="9.140625" style="9" customWidth="1"/>
  </cols>
  <sheetData>
    <row r="1" spans="1:3" s="3" customFormat="1" ht="36" customHeight="1" thickBot="1">
      <c r="A1" s="194" t="s">
        <v>314</v>
      </c>
      <c r="B1" s="195"/>
      <c r="C1" s="176"/>
    </row>
    <row r="2" spans="1:3" s="3" customFormat="1" ht="12.75" customHeight="1">
      <c r="A2" s="177" t="s">
        <v>310</v>
      </c>
      <c r="B2" s="197">
        <v>59724</v>
      </c>
      <c r="C2" s="176" t="s">
        <v>322</v>
      </c>
    </row>
    <row r="3" spans="1:3" ht="12.75" customHeight="1">
      <c r="A3" s="177" t="s">
        <v>308</v>
      </c>
      <c r="B3" s="18">
        <v>508</v>
      </c>
      <c r="C3" s="178"/>
    </row>
    <row r="4" spans="1:3" ht="12.75" customHeight="1" thickBot="1">
      <c r="A4" s="177" t="s">
        <v>307</v>
      </c>
      <c r="B4" s="166">
        <v>5317</v>
      </c>
      <c r="C4" s="179"/>
    </row>
    <row r="5" spans="1:3" ht="12.75" customHeight="1" thickTop="1">
      <c r="A5" s="180" t="s">
        <v>309</v>
      </c>
      <c r="B5" s="20">
        <f>SUM(B2:B4)</f>
        <v>65549</v>
      </c>
      <c r="C5" s="181"/>
    </row>
    <row r="6" spans="1:3" ht="12.75" customHeight="1">
      <c r="A6" s="182"/>
      <c r="B6" s="20"/>
      <c r="C6" s="181"/>
    </row>
    <row r="7" spans="1:3" ht="12.75" customHeight="1">
      <c r="A7" s="183" t="s">
        <v>321</v>
      </c>
      <c r="B7" s="142">
        <v>25432</v>
      </c>
      <c r="C7" s="184">
        <v>1300</v>
      </c>
    </row>
    <row r="8" spans="1:3" ht="12.75" customHeight="1" thickBot="1">
      <c r="A8" s="183" t="s">
        <v>312</v>
      </c>
      <c r="B8" s="167">
        <v>20860</v>
      </c>
      <c r="C8" s="185">
        <v>1300</v>
      </c>
    </row>
    <row r="9" spans="1:3" s="15" customFormat="1" ht="12.75" customHeight="1" thickTop="1">
      <c r="A9" s="186" t="s">
        <v>313</v>
      </c>
      <c r="B9" s="20">
        <f>SUM(B7:B8)</f>
        <v>46292</v>
      </c>
      <c r="C9" s="187">
        <f>SUM(C7:C8)</f>
        <v>2600</v>
      </c>
    </row>
    <row r="10" spans="1:3" ht="12.75" customHeight="1" thickBot="1">
      <c r="A10" s="188"/>
      <c r="B10" s="168"/>
      <c r="C10" s="189"/>
    </row>
    <row r="11" spans="1:3" s="15" customFormat="1" ht="12.75" customHeight="1" thickBot="1" thickTop="1">
      <c r="A11" s="190" t="s">
        <v>146</v>
      </c>
      <c r="B11" s="25">
        <f>SUM(B9,,B5,)</f>
        <v>111841</v>
      </c>
      <c r="C11" s="191"/>
    </row>
    <row r="12" spans="1:2" s="15" customFormat="1" ht="12.75" customHeight="1">
      <c r="A12" s="22"/>
      <c r="B12" s="20"/>
    </row>
    <row r="13" spans="1:2" s="15" customFormat="1" ht="12.75" customHeight="1">
      <c r="A13" s="5"/>
      <c r="B13" s="9"/>
    </row>
    <row r="14" s="15" customFormat="1" ht="12.75" customHeight="1"/>
    <row r="15" s="21" customFormat="1" ht="12.75" customHeight="1"/>
    <row r="16" s="21" customFormat="1" ht="12.75" customHeight="1"/>
    <row r="17" s="15" customFormat="1" ht="12.75" customHeight="1"/>
    <row r="18" spans="1:29" s="15" customFormat="1" ht="12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39" customHeight="1"/>
    <row r="29" s="3" customFormat="1" ht="30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0.5" customHeight="1"/>
    <row r="42" ht="10.5" customHeight="1"/>
    <row r="43" ht="10.5" customHeight="1"/>
  </sheetData>
  <sheetProtection/>
  <printOptions gridLines="1"/>
  <pageMargins left="0.25" right="0.25" top="1" bottom="0.5" header="0.5" footer="0.5"/>
  <pageSetup fitToHeight="1" fitToWidth="1" horizontalDpi="600" verticalDpi="600" orientation="landscape" paperSize="5" r:id="rId1"/>
  <headerFooter alignWithMargins="0">
    <oddHeader>&amp;RCarvill: Cost Analysis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view="pageLayout" workbookViewId="0" topLeftCell="A7">
      <selection activeCell="F27" sqref="F27"/>
    </sheetView>
  </sheetViews>
  <sheetFormatPr defaultColWidth="9.140625" defaultRowHeight="12.75"/>
  <cols>
    <col min="1" max="1" width="29.140625" style="55" customWidth="1"/>
    <col min="2" max="2" width="11.140625" style="55" customWidth="1"/>
    <col min="3" max="3" width="11.7109375" style="55" customWidth="1"/>
    <col min="4" max="4" width="11.140625" style="55" customWidth="1"/>
    <col min="5" max="5" width="17.8515625" style="55" customWidth="1"/>
    <col min="6" max="6" width="19.28125" style="55" customWidth="1"/>
    <col min="7" max="7" width="10.140625" style="55" customWidth="1"/>
    <col min="8" max="16384" width="9.140625" style="55" customWidth="1"/>
  </cols>
  <sheetData>
    <row r="1" spans="1:15" ht="36">
      <c r="A1" s="93" t="s">
        <v>0</v>
      </c>
      <c r="B1" s="56" t="s">
        <v>277</v>
      </c>
      <c r="C1" s="56" t="s">
        <v>278</v>
      </c>
      <c r="D1" s="56"/>
      <c r="E1" s="56" t="s">
        <v>157</v>
      </c>
      <c r="F1" s="56" t="s">
        <v>159</v>
      </c>
      <c r="G1" s="56" t="s">
        <v>161</v>
      </c>
      <c r="H1" s="56"/>
      <c r="I1" s="56" t="s">
        <v>151</v>
      </c>
      <c r="J1" s="56" t="s">
        <v>29</v>
      </c>
      <c r="K1" s="56" t="s">
        <v>3</v>
      </c>
      <c r="L1" s="67" t="s">
        <v>310</v>
      </c>
      <c r="M1" s="67" t="s">
        <v>308</v>
      </c>
      <c r="N1" s="67" t="s">
        <v>307</v>
      </c>
      <c r="O1" s="67" t="s">
        <v>146</v>
      </c>
    </row>
    <row r="2" spans="1:15" ht="12">
      <c r="A2" s="94" t="s">
        <v>12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12">
      <c r="A3" s="95" t="s">
        <v>8</v>
      </c>
      <c r="B3" s="59"/>
      <c r="C3" s="60"/>
      <c r="D3" s="59"/>
      <c r="E3" s="70"/>
      <c r="F3" s="59" t="s">
        <v>273</v>
      </c>
      <c r="G3" s="60">
        <f>SUM(40*21.25*52)</f>
        <v>44200</v>
      </c>
      <c r="H3" s="60"/>
      <c r="I3" s="60">
        <f>SUM(C3,E3,G3,H3)</f>
        <v>44200</v>
      </c>
      <c r="J3" s="60"/>
      <c r="K3" s="60"/>
      <c r="L3" s="60"/>
      <c r="M3" s="58"/>
      <c r="N3" s="58"/>
      <c r="O3" s="58"/>
    </row>
    <row r="4" spans="1:15" ht="12">
      <c r="A4" s="96" t="s">
        <v>244</v>
      </c>
      <c r="B4" s="59"/>
      <c r="C4" s="60"/>
      <c r="D4" s="59"/>
      <c r="E4" s="60"/>
      <c r="F4" s="59" t="s">
        <v>270</v>
      </c>
      <c r="G4" s="60">
        <f>SUM(40*12.29*52)</f>
        <v>25563.199999999997</v>
      </c>
      <c r="H4" s="60"/>
      <c r="I4" s="60">
        <f>SUM(C4,E4,G4,H4)</f>
        <v>25563.199999999997</v>
      </c>
      <c r="J4" s="60"/>
      <c r="K4" s="60"/>
      <c r="L4" s="60"/>
      <c r="M4" s="58"/>
      <c r="N4" s="58"/>
      <c r="O4" s="58"/>
    </row>
    <row r="5" spans="1:15" ht="12">
      <c r="A5" s="96" t="s">
        <v>245</v>
      </c>
      <c r="B5" s="59"/>
      <c r="C5" s="60"/>
      <c r="D5" s="59"/>
      <c r="E5" s="60"/>
      <c r="F5" s="59" t="s">
        <v>271</v>
      </c>
      <c r="G5" s="60">
        <f>SUM(40*10.27*52)</f>
        <v>21361.6</v>
      </c>
      <c r="H5" s="60"/>
      <c r="I5" s="60">
        <f>SUM(C5,E5,G5,H5)</f>
        <v>21361.6</v>
      </c>
      <c r="J5" s="60"/>
      <c r="K5" s="60"/>
      <c r="L5" s="60"/>
      <c r="M5" s="60"/>
      <c r="N5" s="60"/>
      <c r="O5" s="58"/>
    </row>
    <row r="6" spans="1:15" ht="12">
      <c r="A6" s="109"/>
      <c r="B6" s="59"/>
      <c r="C6" s="60"/>
      <c r="D6" s="59"/>
      <c r="E6" s="60"/>
      <c r="F6" s="59"/>
      <c r="G6" s="60"/>
      <c r="H6" s="60"/>
      <c r="I6" s="60"/>
      <c r="J6" s="60"/>
      <c r="K6" s="60"/>
      <c r="L6" s="60"/>
      <c r="M6" s="58"/>
      <c r="N6" s="58"/>
      <c r="O6" s="58"/>
    </row>
    <row r="7" spans="1:15" ht="12">
      <c r="A7" s="96" t="s">
        <v>246</v>
      </c>
      <c r="B7" s="59"/>
      <c r="C7" s="60"/>
      <c r="D7" s="59"/>
      <c r="E7" s="60"/>
      <c r="F7" s="59" t="s">
        <v>247</v>
      </c>
      <c r="G7" s="60">
        <f>SUM(25*9.85*52)</f>
        <v>12805</v>
      </c>
      <c r="H7" s="60"/>
      <c r="I7" s="60">
        <f>SUM(C7,E7,G7,H7)</f>
        <v>12805</v>
      </c>
      <c r="J7" s="60"/>
      <c r="K7" s="60"/>
      <c r="L7" s="60"/>
      <c r="M7" s="58"/>
      <c r="N7" s="58"/>
      <c r="O7" s="58" t="s">
        <v>311</v>
      </c>
    </row>
    <row r="8" spans="1:15" ht="12">
      <c r="A8" s="95" t="s">
        <v>31</v>
      </c>
      <c r="B8" s="59"/>
      <c r="C8" s="60"/>
      <c r="D8" s="59"/>
      <c r="E8" s="70"/>
      <c r="F8" s="59"/>
      <c r="G8" s="60"/>
      <c r="H8" s="60"/>
      <c r="I8" s="60"/>
      <c r="J8" s="60">
        <v>17753</v>
      </c>
      <c r="K8" s="60"/>
      <c r="L8" s="7">
        <v>28393.76</v>
      </c>
      <c r="M8" s="58"/>
      <c r="N8" s="60">
        <v>49990.85</v>
      </c>
      <c r="O8" s="73">
        <f>SUM(K9,L8,M8,N8)</f>
        <v>96137.60999999999</v>
      </c>
    </row>
    <row r="9" spans="1:15" ht="12">
      <c r="A9" s="97" t="s">
        <v>147</v>
      </c>
      <c r="B9" s="72"/>
      <c r="C9" s="73">
        <f>SUM(C3:C8)</f>
        <v>0</v>
      </c>
      <c r="D9" s="72"/>
      <c r="E9" s="91">
        <f>SUM(E3:E8)</f>
        <v>0</v>
      </c>
      <c r="F9" s="72"/>
      <c r="G9" s="73">
        <f>SUM(G3:G8)</f>
        <v>103929.79999999999</v>
      </c>
      <c r="H9" s="73"/>
      <c r="I9" s="73">
        <f>SUM(I3,I5:I7,I4)</f>
        <v>103929.8</v>
      </c>
      <c r="J9" s="73">
        <f>SUM(J8)</f>
        <v>17753</v>
      </c>
      <c r="K9" s="73">
        <f>SUM(J9)</f>
        <v>17753</v>
      </c>
      <c r="L9" s="73"/>
      <c r="M9" s="161"/>
      <c r="N9" s="161"/>
      <c r="O9" s="161"/>
    </row>
    <row r="10" spans="1:15" ht="12">
      <c r="A10" s="98" t="s">
        <v>148</v>
      </c>
      <c r="B10" s="59"/>
      <c r="C10" s="60"/>
      <c r="D10" s="59"/>
      <c r="E10" s="70"/>
      <c r="F10" s="59"/>
      <c r="G10" s="60"/>
      <c r="H10" s="73"/>
      <c r="I10" s="60"/>
      <c r="J10" s="73"/>
      <c r="K10" s="73"/>
      <c r="L10" s="60"/>
      <c r="M10" s="58"/>
      <c r="N10" s="58"/>
      <c r="O10" s="58"/>
    </row>
    <row r="11" spans="1:15" ht="12">
      <c r="A11" s="96" t="s">
        <v>169</v>
      </c>
      <c r="B11" s="59"/>
      <c r="C11" s="60"/>
      <c r="D11" s="59"/>
      <c r="E11" s="70"/>
      <c r="F11" s="59" t="s">
        <v>248</v>
      </c>
      <c r="G11" s="60">
        <f>SUM(57998.68*0.8)</f>
        <v>46398.944</v>
      </c>
      <c r="H11" s="60"/>
      <c r="I11" s="60">
        <f aca="true" t="shared" si="0" ref="I11:I16">SUM(C11,E11,G11,H11)</f>
        <v>46398.944</v>
      </c>
      <c r="J11" s="60"/>
      <c r="K11" s="60"/>
      <c r="L11" s="73"/>
      <c r="M11" s="161"/>
      <c r="N11" s="161"/>
      <c r="O11" s="161"/>
    </row>
    <row r="12" spans="1:15" ht="12">
      <c r="A12" s="96" t="s">
        <v>170</v>
      </c>
      <c r="B12" s="59"/>
      <c r="C12" s="60"/>
      <c r="D12" s="59"/>
      <c r="E12" s="70"/>
      <c r="F12" s="59" t="s">
        <v>249</v>
      </c>
      <c r="G12" s="60">
        <v>36922.89</v>
      </c>
      <c r="H12" s="73"/>
      <c r="I12" s="60">
        <f t="shared" si="0"/>
        <v>36922.89</v>
      </c>
      <c r="J12" s="73"/>
      <c r="K12" s="73"/>
      <c r="L12" s="73"/>
      <c r="M12" s="161"/>
      <c r="N12" s="161"/>
      <c r="O12" s="161"/>
    </row>
    <row r="13" spans="1:15" ht="12">
      <c r="A13" s="96" t="s">
        <v>2</v>
      </c>
      <c r="B13" s="59"/>
      <c r="C13" s="60"/>
      <c r="D13" s="59"/>
      <c r="E13" s="70"/>
      <c r="F13" s="59" t="s">
        <v>250</v>
      </c>
      <c r="G13" s="60">
        <v>13467.23</v>
      </c>
      <c r="H13" s="73"/>
      <c r="I13" s="60">
        <f t="shared" si="0"/>
        <v>13467.23</v>
      </c>
      <c r="J13" s="73"/>
      <c r="K13" s="73"/>
      <c r="L13" s="73"/>
      <c r="M13" s="161"/>
      <c r="N13" s="161"/>
      <c r="O13" s="161"/>
    </row>
    <row r="14" spans="1:15" ht="12">
      <c r="A14" s="96" t="s">
        <v>15</v>
      </c>
      <c r="B14" s="59"/>
      <c r="C14" s="60"/>
      <c r="D14" s="59"/>
      <c r="E14" s="70"/>
      <c r="F14" s="59" t="s">
        <v>251</v>
      </c>
      <c r="G14" s="60">
        <f>SUM(74452.79*0.05)</f>
        <v>3722.6394999999998</v>
      </c>
      <c r="H14" s="73"/>
      <c r="I14" s="60">
        <f t="shared" si="0"/>
        <v>3722.6394999999998</v>
      </c>
      <c r="J14" s="73"/>
      <c r="K14" s="73"/>
      <c r="L14" s="73"/>
      <c r="M14" s="161"/>
      <c r="N14" s="161"/>
      <c r="O14" s="161"/>
    </row>
    <row r="15" spans="1:15" ht="12">
      <c r="A15" s="96"/>
      <c r="B15" s="59"/>
      <c r="C15" s="60"/>
      <c r="D15" s="59"/>
      <c r="E15" s="70"/>
      <c r="F15" s="59"/>
      <c r="G15" s="60"/>
      <c r="H15" s="60"/>
      <c r="I15" s="60">
        <f t="shared" si="0"/>
        <v>0</v>
      </c>
      <c r="J15" s="73"/>
      <c r="K15" s="73"/>
      <c r="L15" s="161"/>
      <c r="M15" s="161"/>
      <c r="N15" s="161"/>
      <c r="O15" s="161"/>
    </row>
    <row r="16" spans="1:15" ht="12">
      <c r="A16" s="96"/>
      <c r="B16" s="59"/>
      <c r="C16" s="60"/>
      <c r="D16" s="59"/>
      <c r="E16" s="70"/>
      <c r="F16" s="59"/>
      <c r="G16" s="60"/>
      <c r="H16" s="60"/>
      <c r="I16" s="60">
        <f t="shared" si="0"/>
        <v>0</v>
      </c>
      <c r="J16" s="73"/>
      <c r="K16" s="73"/>
      <c r="L16" s="92"/>
      <c r="M16" s="92"/>
      <c r="N16" s="92"/>
      <c r="O16" s="92"/>
    </row>
    <row r="17" spans="1:15" ht="12">
      <c r="A17" s="97" t="s">
        <v>147</v>
      </c>
      <c r="B17" s="59"/>
      <c r="C17" s="73">
        <f>SUM(C11:C16)</f>
        <v>0</v>
      </c>
      <c r="D17" s="72"/>
      <c r="E17" s="91">
        <f>SUM(E12:E16)</f>
        <v>0</v>
      </c>
      <c r="F17" s="72"/>
      <c r="G17" s="73">
        <f>SUM(G11:G16)</f>
        <v>100511.7035</v>
      </c>
      <c r="H17" s="73"/>
      <c r="I17" s="73">
        <f>SUM(I11:I16)</f>
        <v>100511.7035</v>
      </c>
      <c r="J17" s="73">
        <f>SUM(J11:J16)</f>
        <v>0</v>
      </c>
      <c r="K17" s="73"/>
      <c r="L17" s="92"/>
      <c r="M17" s="92"/>
      <c r="N17" s="92"/>
      <c r="O17" s="92"/>
    </row>
    <row r="18" spans="1:15" ht="12.75" thickBot="1">
      <c r="A18" s="105" t="s">
        <v>6</v>
      </c>
      <c r="B18" s="82"/>
      <c r="C18" s="83">
        <f>C9+C17</f>
        <v>0</v>
      </c>
      <c r="D18" s="82"/>
      <c r="E18" s="83">
        <f>E9+E17</f>
        <v>0</v>
      </c>
      <c r="F18" s="82"/>
      <c r="G18" s="83">
        <f>G9+G17</f>
        <v>204441.5035</v>
      </c>
      <c r="H18" s="83">
        <f>H9+H17</f>
        <v>0</v>
      </c>
      <c r="I18" s="83">
        <f>SUM(C18,E18,G18,H18)</f>
        <v>204441.5035</v>
      </c>
      <c r="J18" s="83">
        <f>J9+J17</f>
        <v>17753</v>
      </c>
      <c r="K18" s="83">
        <f>SUM(I18:J18)</f>
        <v>222194.5035</v>
      </c>
      <c r="L18" s="83"/>
      <c r="M18" s="163"/>
      <c r="N18" s="163"/>
      <c r="O18" s="83">
        <f>SUM(K18+L8+M8+N8)</f>
        <v>300579.1135</v>
      </c>
    </row>
    <row r="19" spans="1:15" ht="24">
      <c r="A19" s="104"/>
      <c r="B19" s="81"/>
      <c r="C19" s="84"/>
      <c r="D19" s="56" t="s">
        <v>322</v>
      </c>
      <c r="E19" s="84"/>
      <c r="F19" s="81"/>
      <c r="G19" s="84"/>
      <c r="H19" s="84"/>
      <c r="I19" s="84"/>
      <c r="J19" s="84"/>
      <c r="K19" s="84"/>
      <c r="L19" s="162"/>
      <c r="M19" s="162"/>
      <c r="N19" s="162"/>
      <c r="O19" s="162"/>
    </row>
    <row r="20" spans="1:15" ht="12">
      <c r="A20" s="99"/>
      <c r="B20" s="59"/>
      <c r="C20" s="60"/>
      <c r="D20" s="59"/>
      <c r="E20" s="70"/>
      <c r="F20" s="59"/>
      <c r="G20" s="60"/>
      <c r="H20" s="60"/>
      <c r="I20" s="60"/>
      <c r="J20" s="60"/>
      <c r="K20" s="60"/>
      <c r="L20" s="92"/>
      <c r="M20" s="92"/>
      <c r="N20" s="92"/>
      <c r="O20" s="92"/>
    </row>
    <row r="21" spans="1:15" ht="12">
      <c r="A21" s="96" t="s">
        <v>171</v>
      </c>
      <c r="B21" s="75"/>
      <c r="C21" s="60">
        <v>31910</v>
      </c>
      <c r="D21" s="59"/>
      <c r="E21" s="58"/>
      <c r="F21" s="59"/>
      <c r="G21" s="60"/>
      <c r="H21" s="60"/>
      <c r="I21" s="73"/>
      <c r="J21" s="73"/>
      <c r="K21" s="73"/>
      <c r="L21" s="92"/>
      <c r="M21" s="92"/>
      <c r="N21" s="92"/>
      <c r="O21" s="92"/>
    </row>
    <row r="22" spans="1:15" ht="12">
      <c r="A22" s="96" t="s">
        <v>17</v>
      </c>
      <c r="B22" s="75"/>
      <c r="C22" s="60">
        <v>12292.35</v>
      </c>
      <c r="D22" s="59"/>
      <c r="E22" s="58"/>
      <c r="F22" s="59"/>
      <c r="G22" s="60"/>
      <c r="H22" s="60"/>
      <c r="I22" s="60"/>
      <c r="J22" s="60"/>
      <c r="K22" s="60"/>
      <c r="L22" s="92"/>
      <c r="M22" s="92"/>
      <c r="N22" s="92"/>
      <c r="O22" s="92"/>
    </row>
    <row r="23" spans="1:15" ht="12">
      <c r="A23" s="96" t="s">
        <v>252</v>
      </c>
      <c r="B23" s="75"/>
      <c r="C23" s="60">
        <v>25563</v>
      </c>
      <c r="D23" s="59">
        <v>1300</v>
      </c>
      <c r="E23" s="58"/>
      <c r="F23" s="59"/>
      <c r="G23" s="60"/>
      <c r="H23" s="60"/>
      <c r="I23" s="60"/>
      <c r="J23" s="60"/>
      <c r="K23" s="60">
        <v>25</v>
      </c>
      <c r="L23" s="92"/>
      <c r="M23" s="92"/>
      <c r="N23" s="92"/>
      <c r="O23" s="92"/>
    </row>
    <row r="24" spans="1:15" ht="12">
      <c r="A24" s="96" t="s">
        <v>253</v>
      </c>
      <c r="B24" s="75"/>
      <c r="C24" s="60">
        <v>21362</v>
      </c>
      <c r="D24" s="59">
        <v>1300</v>
      </c>
      <c r="E24" s="58"/>
      <c r="F24" s="59"/>
      <c r="G24" s="60"/>
      <c r="H24" s="60"/>
      <c r="I24" s="60"/>
      <c r="J24" s="60"/>
      <c r="K24" s="60">
        <v>52</v>
      </c>
      <c r="L24" s="92"/>
      <c r="M24" s="92"/>
      <c r="N24" s="92"/>
      <c r="O24" s="92"/>
    </row>
    <row r="25" spans="1:15" ht="12.75" thickBot="1">
      <c r="A25" s="96" t="s">
        <v>254</v>
      </c>
      <c r="B25" s="75"/>
      <c r="C25" s="60">
        <v>12805</v>
      </c>
      <c r="D25" s="170">
        <v>1300</v>
      </c>
      <c r="E25" s="58"/>
      <c r="F25" s="59"/>
      <c r="G25" s="60"/>
      <c r="H25" s="60"/>
      <c r="I25" s="60"/>
      <c r="J25" s="60"/>
      <c r="K25" s="60"/>
      <c r="L25" s="92"/>
      <c r="M25" s="92"/>
      <c r="N25" s="92"/>
      <c r="O25" s="92"/>
    </row>
    <row r="26" spans="1:15" ht="12.75" thickTop="1">
      <c r="A26" s="171" t="s">
        <v>323</v>
      </c>
      <c r="B26" s="75"/>
      <c r="C26" s="60"/>
      <c r="D26" s="81">
        <f>SUM(D20:D25)</f>
        <v>3900</v>
      </c>
      <c r="E26" s="58"/>
      <c r="F26" s="59"/>
      <c r="G26" s="60"/>
      <c r="H26" s="60"/>
      <c r="I26" s="60"/>
      <c r="J26" s="60"/>
      <c r="K26" s="60"/>
      <c r="L26" s="92"/>
      <c r="M26" s="92"/>
      <c r="N26" s="92"/>
      <c r="O26" s="92"/>
    </row>
    <row r="27" spans="1:15" ht="12">
      <c r="A27" s="96"/>
      <c r="B27" s="75"/>
      <c r="C27" s="60"/>
      <c r="D27" s="59"/>
      <c r="E27" s="58"/>
      <c r="F27" s="59"/>
      <c r="G27" s="60"/>
      <c r="H27" s="60"/>
      <c r="I27" s="60"/>
      <c r="J27" s="60"/>
      <c r="K27" s="60"/>
      <c r="L27" s="92"/>
      <c r="M27" s="92"/>
      <c r="N27" s="92"/>
      <c r="O27" s="92"/>
    </row>
    <row r="28" spans="1:15" ht="12">
      <c r="A28" s="96" t="s">
        <v>272</v>
      </c>
      <c r="B28" s="75"/>
      <c r="C28" s="60">
        <v>100512</v>
      </c>
      <c r="D28" s="59"/>
      <c r="E28" s="58"/>
      <c r="F28" s="59"/>
      <c r="G28" s="60"/>
      <c r="H28" s="60"/>
      <c r="I28" s="60"/>
      <c r="J28" s="60"/>
      <c r="K28" s="60"/>
      <c r="L28" s="92"/>
      <c r="M28" s="92"/>
      <c r="N28" s="92"/>
      <c r="O28" s="92"/>
    </row>
    <row r="29" spans="1:15" ht="12">
      <c r="A29" s="96"/>
      <c r="B29" s="75"/>
      <c r="C29" s="73">
        <f>SUM(C21:C28)</f>
        <v>204444.35</v>
      </c>
      <c r="D29" s="59"/>
      <c r="E29" s="58"/>
      <c r="F29" s="59"/>
      <c r="G29" s="60"/>
      <c r="H29" s="60"/>
      <c r="I29" s="60"/>
      <c r="J29" s="60"/>
      <c r="K29" s="60"/>
      <c r="L29" s="92"/>
      <c r="M29" s="92"/>
      <c r="N29" s="92"/>
      <c r="O29" s="92"/>
    </row>
    <row r="30" spans="1:15" ht="24.75" thickBot="1">
      <c r="A30" s="107" t="s">
        <v>150</v>
      </c>
      <c r="B30" s="108"/>
      <c r="C30" s="65">
        <f>SUM(C29-G9)</f>
        <v>100514.55000000002</v>
      </c>
      <c r="D30" s="64"/>
      <c r="E30" s="63"/>
      <c r="F30" s="64"/>
      <c r="G30" s="65"/>
      <c r="H30" s="65"/>
      <c r="I30" s="65"/>
      <c r="J30" s="65"/>
      <c r="K30" s="65"/>
      <c r="L30" s="103"/>
      <c r="M30" s="103"/>
      <c r="N30" s="103"/>
      <c r="O30" s="103"/>
    </row>
    <row r="31" spans="1:15" ht="12">
      <c r="A31" s="93"/>
      <c r="B31" s="57"/>
      <c r="C31" s="57" t="s">
        <v>277</v>
      </c>
      <c r="D31" s="56"/>
      <c r="E31" s="56" t="s">
        <v>7</v>
      </c>
      <c r="F31" s="56" t="s">
        <v>159</v>
      </c>
      <c r="G31" s="57" t="s">
        <v>158</v>
      </c>
      <c r="H31" s="56"/>
      <c r="I31" s="140" t="s">
        <v>3</v>
      </c>
      <c r="J31" s="138"/>
      <c r="K31" s="106"/>
      <c r="L31" s="162"/>
      <c r="M31" s="162"/>
      <c r="N31" s="162"/>
      <c r="O31" s="162"/>
    </row>
    <row r="32" spans="1:15" ht="12">
      <c r="A32" s="109"/>
      <c r="B32" s="110"/>
      <c r="C32" s="111"/>
      <c r="D32" s="111"/>
      <c r="E32" s="111"/>
      <c r="F32" s="111"/>
      <c r="G32" s="111"/>
      <c r="H32" s="112"/>
      <c r="I32" s="62"/>
      <c r="J32" s="89"/>
      <c r="K32" s="60"/>
      <c r="L32" s="92"/>
      <c r="M32" s="92"/>
      <c r="N32" s="92"/>
      <c r="O32" s="92"/>
    </row>
    <row r="33" spans="1:15" ht="12">
      <c r="A33" s="109"/>
      <c r="B33" s="110"/>
      <c r="C33" s="111"/>
      <c r="D33" s="111"/>
      <c r="E33" s="111"/>
      <c r="F33" s="111"/>
      <c r="G33" s="111"/>
      <c r="H33" s="112"/>
      <c r="I33" s="62"/>
      <c r="J33" s="89"/>
      <c r="K33" s="60"/>
      <c r="L33" s="92"/>
      <c r="M33" s="92"/>
      <c r="N33" s="92"/>
      <c r="O33" s="92"/>
    </row>
    <row r="34" spans="1:15" ht="12">
      <c r="A34" s="113"/>
      <c r="B34" s="114"/>
      <c r="C34" s="115"/>
      <c r="D34" s="116"/>
      <c r="E34" s="115"/>
      <c r="F34" s="116"/>
      <c r="G34" s="117"/>
      <c r="H34" s="117"/>
      <c r="I34" s="62"/>
      <c r="J34" s="89"/>
      <c r="K34" s="60"/>
      <c r="L34" s="92"/>
      <c r="M34" s="92"/>
      <c r="N34" s="92"/>
      <c r="O34" s="92"/>
    </row>
    <row r="35" spans="1:15" ht="12.75" thickBot="1">
      <c r="A35" s="141"/>
      <c r="B35" s="133"/>
      <c r="C35" s="133"/>
      <c r="D35" s="134"/>
      <c r="E35" s="133"/>
      <c r="F35" s="134"/>
      <c r="G35" s="135"/>
      <c r="H35" s="135"/>
      <c r="I35" s="66"/>
      <c r="J35" s="89"/>
      <c r="K35" s="60"/>
      <c r="L35" s="92"/>
      <c r="M35" s="92"/>
      <c r="N35" s="92"/>
      <c r="O35" s="92"/>
    </row>
    <row r="36" spans="1:15" ht="12">
      <c r="A36" s="139"/>
      <c r="B36" s="85"/>
      <c r="C36" s="85"/>
      <c r="D36" s="78"/>
      <c r="E36" s="85"/>
      <c r="F36" s="78"/>
      <c r="G36" s="79"/>
      <c r="H36" s="88"/>
      <c r="I36" s="88"/>
      <c r="J36" s="61"/>
      <c r="K36" s="61"/>
      <c r="L36" s="92"/>
      <c r="M36" s="92"/>
      <c r="N36" s="92"/>
      <c r="O36" s="92"/>
    </row>
    <row r="37" spans="1:15" ht="12">
      <c r="A37" s="100" t="s">
        <v>172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</row>
    <row r="38" spans="1:15" ht="12">
      <c r="A38" s="100" t="s">
        <v>173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</row>
    <row r="39" spans="1:15" ht="12">
      <c r="A39" s="101" t="s">
        <v>255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</row>
    <row r="40" spans="1:15" ht="12">
      <c r="A40" s="100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</row>
    <row r="41" spans="1:15" ht="12">
      <c r="A41" s="100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</row>
    <row r="42" spans="1:15" ht="12">
      <c r="A42" s="100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</row>
    <row r="43" spans="1:15" ht="12">
      <c r="A43" s="100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</row>
    <row r="44" spans="1:15" ht="12">
      <c r="A44" s="100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</row>
    <row r="45" spans="1:15" ht="12">
      <c r="A45" s="100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</row>
    <row r="46" spans="1:15" ht="12">
      <c r="A46" s="100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</row>
    <row r="47" spans="1:15" ht="12.75" thickBo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92"/>
      <c r="M47" s="92"/>
      <c r="N47" s="92"/>
      <c r="O47" s="92"/>
    </row>
    <row r="48" spans="12:15" ht="12">
      <c r="L48" s="92"/>
      <c r="M48" s="92"/>
      <c r="N48" s="92"/>
      <c r="O48" s="92"/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5" scale="76" r:id="rId1"/>
  <headerFooter alignWithMargins="0">
    <oddHeader>&amp;RCecil Gym: Cost Analysis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7"/>
  <sheetViews>
    <sheetView view="pageLayout" workbookViewId="0" topLeftCell="A10">
      <selection activeCell="F44" sqref="F44"/>
    </sheetView>
  </sheetViews>
  <sheetFormatPr defaultColWidth="9.140625" defaultRowHeight="12.75"/>
  <cols>
    <col min="1" max="1" width="21.7109375" style="9" customWidth="1"/>
    <col min="2" max="2" width="15.140625" style="9" customWidth="1"/>
    <col min="3" max="3" width="6.8515625" style="9" customWidth="1"/>
    <col min="4" max="4" width="12.7109375" style="6" customWidth="1"/>
    <col min="5" max="5" width="6.8515625" style="9" customWidth="1"/>
    <col min="6" max="6" width="15.00390625" style="9" customWidth="1"/>
    <col min="7" max="7" width="6.7109375" style="9" customWidth="1"/>
    <col min="8" max="8" width="15.140625" style="9" customWidth="1"/>
    <col min="9" max="9" width="6.421875" style="9" customWidth="1"/>
    <col min="10" max="10" width="15.7109375" style="9" customWidth="1"/>
    <col min="11" max="11" width="6.8515625" style="9" customWidth="1"/>
    <col min="12" max="12" width="7.421875" style="9" customWidth="1"/>
    <col min="13" max="14" width="6.7109375" style="9" customWidth="1"/>
    <col min="15" max="15" width="7.8515625" style="9" customWidth="1"/>
    <col min="16" max="17" width="8.140625" style="9" customWidth="1"/>
    <col min="18" max="18" width="7.57421875" style="9" customWidth="1"/>
    <col min="19" max="19" width="8.140625" style="9" customWidth="1"/>
    <col min="20" max="21" width="9.140625" style="55" customWidth="1"/>
    <col min="22" max="22" width="7.57421875" style="55" customWidth="1"/>
    <col min="23" max="23" width="9.140625" style="55" customWidth="1"/>
    <col min="24" max="16384" width="9.140625" style="9" customWidth="1"/>
  </cols>
  <sheetData>
    <row r="1" spans="1:23" ht="60">
      <c r="A1" s="67" t="s">
        <v>0</v>
      </c>
      <c r="B1" s="67" t="s">
        <v>174</v>
      </c>
      <c r="C1" s="67" t="s">
        <v>175</v>
      </c>
      <c r="D1" s="67" t="s">
        <v>176</v>
      </c>
      <c r="E1" s="67" t="s">
        <v>177</v>
      </c>
      <c r="F1" s="67" t="s">
        <v>178</v>
      </c>
      <c r="G1" s="67" t="s">
        <v>179</v>
      </c>
      <c r="H1" s="67" t="s">
        <v>180</v>
      </c>
      <c r="I1" s="67" t="s">
        <v>181</v>
      </c>
      <c r="J1" s="67" t="s">
        <v>182</v>
      </c>
      <c r="K1" s="67" t="s">
        <v>22</v>
      </c>
      <c r="L1" s="67" t="s">
        <v>4</v>
      </c>
      <c r="M1" s="67" t="s">
        <v>183</v>
      </c>
      <c r="N1" s="67" t="s">
        <v>184</v>
      </c>
      <c r="O1" s="67" t="s">
        <v>185</v>
      </c>
      <c r="P1" s="67" t="s">
        <v>186</v>
      </c>
      <c r="Q1" s="67" t="s">
        <v>187</v>
      </c>
      <c r="R1" s="67" t="s">
        <v>29</v>
      </c>
      <c r="S1" s="67" t="s">
        <v>6</v>
      </c>
      <c r="T1" s="67" t="s">
        <v>310</v>
      </c>
      <c r="U1" s="67" t="s">
        <v>308</v>
      </c>
      <c r="V1" s="67" t="s">
        <v>307</v>
      </c>
      <c r="W1" s="67" t="s">
        <v>146</v>
      </c>
    </row>
    <row r="2" spans="1:23" ht="12">
      <c r="A2" s="68" t="s">
        <v>12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0"/>
      <c r="Q2" s="60"/>
      <c r="R2" s="67"/>
      <c r="S2" s="60"/>
      <c r="T2" s="67"/>
      <c r="U2" s="67"/>
      <c r="V2" s="67"/>
      <c r="W2" s="67"/>
    </row>
    <row r="3" spans="1:23" ht="12">
      <c r="A3" s="69" t="s">
        <v>8</v>
      </c>
      <c r="B3" s="59" t="s">
        <v>256</v>
      </c>
      <c r="C3" s="60">
        <f>SUM(3*19.94*22)</f>
        <v>1316.0400000000002</v>
      </c>
      <c r="D3" s="59" t="s">
        <v>257</v>
      </c>
      <c r="E3" s="70">
        <v>0</v>
      </c>
      <c r="F3" s="71" t="s">
        <v>258</v>
      </c>
      <c r="G3" s="70">
        <f>SUM(96*19.94)</f>
        <v>1914.2400000000002</v>
      </c>
      <c r="H3" s="70" t="s">
        <v>259</v>
      </c>
      <c r="I3" s="70">
        <f>SUM(3.5*19.94*25)</f>
        <v>1744.7500000000002</v>
      </c>
      <c r="J3" s="59" t="s">
        <v>256</v>
      </c>
      <c r="K3" s="60">
        <f>SUM(3*19.94*22)</f>
        <v>1316.0400000000002</v>
      </c>
      <c r="L3" s="60">
        <v>6314</v>
      </c>
      <c r="M3" s="60"/>
      <c r="N3" s="60">
        <v>316</v>
      </c>
      <c r="O3" s="60"/>
      <c r="P3" s="60">
        <f>S3*5%</f>
        <v>646.0535</v>
      </c>
      <c r="Q3" s="60">
        <f aca="true" t="shared" si="0" ref="Q3:Q9">S3-P3</f>
        <v>12275.0165</v>
      </c>
      <c r="R3" s="60"/>
      <c r="S3" s="60">
        <f>SUM(C3:E3:G3:I3:K3:L3:M3:N3:O3)</f>
        <v>12921.07</v>
      </c>
      <c r="T3" s="60"/>
      <c r="U3" s="58"/>
      <c r="V3" s="58"/>
      <c r="W3" s="58"/>
    </row>
    <row r="4" spans="1:23" ht="12">
      <c r="A4" s="115"/>
      <c r="B4" s="59"/>
      <c r="C4" s="60"/>
      <c r="D4" s="59"/>
      <c r="E4" s="70"/>
      <c r="F4" s="71"/>
      <c r="G4" s="70"/>
      <c r="H4" s="70"/>
      <c r="I4" s="70"/>
      <c r="J4" s="59"/>
      <c r="K4" s="60"/>
      <c r="L4" s="60"/>
      <c r="M4" s="60"/>
      <c r="N4" s="60"/>
      <c r="O4" s="60"/>
      <c r="P4" s="60"/>
      <c r="Q4" s="60"/>
      <c r="R4" s="60"/>
      <c r="S4" s="60"/>
      <c r="T4" s="60"/>
      <c r="U4" s="58"/>
      <c r="V4" s="58"/>
      <c r="W4" s="58"/>
    </row>
    <row r="5" spans="1:23" ht="12">
      <c r="A5" s="58" t="s">
        <v>188</v>
      </c>
      <c r="B5" s="59"/>
      <c r="C5" s="60"/>
      <c r="D5" s="59"/>
      <c r="E5" s="58"/>
      <c r="F5" s="58"/>
      <c r="G5" s="58"/>
      <c r="H5" s="58"/>
      <c r="I5" s="58"/>
      <c r="J5" s="59"/>
      <c r="K5" s="60"/>
      <c r="L5" s="60"/>
      <c r="M5" s="60"/>
      <c r="N5" s="60"/>
      <c r="O5" s="60"/>
      <c r="P5" s="60"/>
      <c r="Q5" s="60">
        <f t="shared" si="0"/>
        <v>0</v>
      </c>
      <c r="R5" s="60"/>
      <c r="S5" s="60">
        <f>SUM(C5:E5:G5:I5:K5:L5:M5:N5:O5)</f>
        <v>0</v>
      </c>
      <c r="T5" s="60"/>
      <c r="U5" s="60"/>
      <c r="V5" s="60"/>
      <c r="W5" s="58"/>
    </row>
    <row r="6" spans="1:23" ht="12">
      <c r="A6" s="58" t="s">
        <v>13</v>
      </c>
      <c r="B6" s="59"/>
      <c r="C6" s="60"/>
      <c r="D6" s="59"/>
      <c r="E6" s="58"/>
      <c r="F6" s="58"/>
      <c r="G6" s="58"/>
      <c r="H6" s="58"/>
      <c r="I6" s="58"/>
      <c r="J6" s="59"/>
      <c r="K6" s="60"/>
      <c r="L6" s="60">
        <v>9264</v>
      </c>
      <c r="M6" s="60">
        <v>1679</v>
      </c>
      <c r="N6" s="60">
        <v>468</v>
      </c>
      <c r="O6" s="60"/>
      <c r="P6" s="60">
        <f>S6*5%</f>
        <v>570.5500000000001</v>
      </c>
      <c r="Q6" s="60">
        <f t="shared" si="0"/>
        <v>10840.45</v>
      </c>
      <c r="R6" s="60"/>
      <c r="S6" s="60">
        <f>SUM(C6:E6:G6:I6:K6:L6:M6:N6:O6)</f>
        <v>11411</v>
      </c>
      <c r="T6" s="60"/>
      <c r="U6" s="58"/>
      <c r="V6" s="58"/>
      <c r="W6" s="58"/>
    </row>
    <row r="7" spans="1:23" ht="12">
      <c r="A7" s="58" t="s">
        <v>170</v>
      </c>
      <c r="B7" s="59"/>
      <c r="C7" s="60"/>
      <c r="D7" s="59"/>
      <c r="E7" s="58"/>
      <c r="F7" s="58"/>
      <c r="G7" s="58"/>
      <c r="H7" s="58"/>
      <c r="I7" s="58"/>
      <c r="J7" s="59"/>
      <c r="K7" s="60"/>
      <c r="L7" s="60"/>
      <c r="M7" s="60"/>
      <c r="N7" s="60"/>
      <c r="O7" s="60">
        <v>897</v>
      </c>
      <c r="P7" s="60"/>
      <c r="Q7" s="60">
        <f t="shared" si="0"/>
        <v>897</v>
      </c>
      <c r="R7" s="60"/>
      <c r="S7" s="60">
        <f>SUM(C7:E7:G7:I7:K7:L7:M7:N7:O7)</f>
        <v>897</v>
      </c>
      <c r="T7" s="60"/>
      <c r="U7" s="58"/>
      <c r="V7" s="58"/>
      <c r="W7" s="58"/>
    </row>
    <row r="8" spans="1:23" ht="12">
      <c r="A8" s="58"/>
      <c r="B8" s="59"/>
      <c r="C8" s="60"/>
      <c r="D8" s="59"/>
      <c r="E8" s="60"/>
      <c r="F8" s="60"/>
      <c r="G8" s="60"/>
      <c r="H8" s="60"/>
      <c r="I8" s="60"/>
      <c r="J8" s="59"/>
      <c r="K8" s="60"/>
      <c r="L8" s="60"/>
      <c r="M8" s="60"/>
      <c r="N8" s="60"/>
      <c r="O8" s="58"/>
      <c r="P8" s="58"/>
      <c r="Q8" s="60">
        <f t="shared" si="0"/>
        <v>0</v>
      </c>
      <c r="R8" s="58"/>
      <c r="S8" s="60">
        <f>SUM(C8:E8:G8:I8:K8:L8:M8:N8:O8)</f>
        <v>0</v>
      </c>
      <c r="T8" s="73"/>
      <c r="U8" s="58"/>
      <c r="V8" s="58"/>
      <c r="W8" s="60"/>
    </row>
    <row r="9" spans="1:23" ht="12">
      <c r="A9" s="58"/>
      <c r="B9" s="59"/>
      <c r="C9" s="60"/>
      <c r="D9" s="59"/>
      <c r="E9" s="58"/>
      <c r="F9" s="58"/>
      <c r="G9" s="58"/>
      <c r="H9" s="58"/>
      <c r="I9" s="58"/>
      <c r="J9" s="59"/>
      <c r="K9" s="60"/>
      <c r="L9" s="60"/>
      <c r="M9" s="60"/>
      <c r="N9" s="60"/>
      <c r="O9" s="60"/>
      <c r="P9" s="60"/>
      <c r="Q9" s="60">
        <f t="shared" si="0"/>
        <v>0</v>
      </c>
      <c r="R9" s="60"/>
      <c r="S9" s="60">
        <f>SUM(C9:E9:G9:I9:K9:L9:M9:N9:O9)</f>
        <v>0</v>
      </c>
      <c r="T9" s="73"/>
      <c r="U9" s="161"/>
      <c r="V9" s="161"/>
      <c r="W9" s="161"/>
    </row>
    <row r="10" spans="1:23" ht="12">
      <c r="A10" s="58"/>
      <c r="B10" s="59"/>
      <c r="C10" s="60"/>
      <c r="D10" s="59"/>
      <c r="E10" s="58"/>
      <c r="F10" s="58"/>
      <c r="G10" s="58"/>
      <c r="H10" s="58"/>
      <c r="I10" s="58"/>
      <c r="J10" s="59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58"/>
      <c r="V10" s="58"/>
      <c r="W10" s="58"/>
    </row>
    <row r="11" spans="1:23" ht="12">
      <c r="A11" s="72" t="s">
        <v>189</v>
      </c>
      <c r="B11" s="72"/>
      <c r="C11" s="73">
        <f>SUM(C3:C10)</f>
        <v>1316.0400000000002</v>
      </c>
      <c r="D11" s="72"/>
      <c r="E11" s="73">
        <f>SUM(E3:E10)</f>
        <v>0</v>
      </c>
      <c r="F11" s="73"/>
      <c r="G11" s="73">
        <f>SUM(G3:G10)</f>
        <v>1914.2400000000002</v>
      </c>
      <c r="H11" s="73"/>
      <c r="I11" s="73">
        <f>SUM(I3:I10)</f>
        <v>1744.7500000000002</v>
      </c>
      <c r="J11" s="72"/>
      <c r="K11" s="73">
        <f aca="true" t="shared" si="1" ref="K11:S11">SUM(K3:K10)</f>
        <v>1316.0400000000002</v>
      </c>
      <c r="L11" s="73">
        <f t="shared" si="1"/>
        <v>15578</v>
      </c>
      <c r="M11" s="73">
        <f t="shared" si="1"/>
        <v>1679</v>
      </c>
      <c r="N11" s="73">
        <f t="shared" si="1"/>
        <v>784</v>
      </c>
      <c r="O11" s="73">
        <f t="shared" si="1"/>
        <v>897</v>
      </c>
      <c r="P11" s="73">
        <f t="shared" si="1"/>
        <v>1216.6035000000002</v>
      </c>
      <c r="Q11" s="73">
        <f t="shared" si="1"/>
        <v>24012.466500000002</v>
      </c>
      <c r="R11" s="73">
        <f t="shared" si="1"/>
        <v>0</v>
      </c>
      <c r="S11" s="73">
        <f t="shared" si="1"/>
        <v>25229.07</v>
      </c>
      <c r="T11" s="73"/>
      <c r="U11" s="161"/>
      <c r="V11" s="161"/>
      <c r="W11" s="58" t="s">
        <v>311</v>
      </c>
    </row>
    <row r="12" spans="1:23" ht="12">
      <c r="A12" s="69" t="s">
        <v>31</v>
      </c>
      <c r="B12" s="59"/>
      <c r="C12" s="60">
        <v>1131</v>
      </c>
      <c r="D12" s="59"/>
      <c r="E12" s="70">
        <v>896</v>
      </c>
      <c r="F12" s="70"/>
      <c r="G12" s="70">
        <v>896</v>
      </c>
      <c r="H12" s="70"/>
      <c r="I12" s="70">
        <v>491</v>
      </c>
      <c r="J12" s="59"/>
      <c r="K12" s="60">
        <v>45</v>
      </c>
      <c r="L12" s="60">
        <v>4055</v>
      </c>
      <c r="M12" s="60">
        <v>0</v>
      </c>
      <c r="N12" s="60">
        <v>83</v>
      </c>
      <c r="O12" s="60"/>
      <c r="P12" s="60"/>
      <c r="Q12" s="60"/>
      <c r="R12" s="60"/>
      <c r="S12" s="73">
        <f>SUM(C12:P12)</f>
        <v>7597</v>
      </c>
      <c r="T12" s="7">
        <v>9057.74</v>
      </c>
      <c r="U12" s="60">
        <v>2264</v>
      </c>
      <c r="V12" s="165">
        <v>145595.34</v>
      </c>
      <c r="W12" s="73">
        <f>SUM(S12,T12,U12,V12)</f>
        <v>164514.08</v>
      </c>
    </row>
    <row r="13" spans="1:23" ht="12.75" thickBot="1">
      <c r="A13" s="82" t="s">
        <v>6</v>
      </c>
      <c r="B13" s="82"/>
      <c r="C13" s="83">
        <f>SUM(C11:C12)</f>
        <v>2447.04</v>
      </c>
      <c r="D13" s="82"/>
      <c r="E13" s="83">
        <f>SUM(E11:E12)</f>
        <v>896</v>
      </c>
      <c r="F13" s="83"/>
      <c r="G13" s="83">
        <f>SUM(G11:G12)</f>
        <v>2810.2400000000002</v>
      </c>
      <c r="H13" s="83"/>
      <c r="I13" s="83">
        <f>SUM(I11:I12)</f>
        <v>2235.75</v>
      </c>
      <c r="J13" s="82"/>
      <c r="K13" s="83">
        <f aca="true" t="shared" si="2" ref="K13:S13">SUM(K11:K12)</f>
        <v>1361.0400000000002</v>
      </c>
      <c r="L13" s="83">
        <f t="shared" si="2"/>
        <v>19633</v>
      </c>
      <c r="M13" s="83">
        <f t="shared" si="2"/>
        <v>1679</v>
      </c>
      <c r="N13" s="83">
        <f t="shared" si="2"/>
        <v>867</v>
      </c>
      <c r="O13" s="83">
        <f t="shared" si="2"/>
        <v>897</v>
      </c>
      <c r="P13" s="83">
        <f t="shared" si="2"/>
        <v>1216.6035000000002</v>
      </c>
      <c r="Q13" s="83">
        <f t="shared" si="2"/>
        <v>24012.466500000002</v>
      </c>
      <c r="R13" s="83">
        <f t="shared" si="2"/>
        <v>0</v>
      </c>
      <c r="S13" s="83">
        <f t="shared" si="2"/>
        <v>32826.07</v>
      </c>
      <c r="T13" s="83"/>
      <c r="U13" s="163"/>
      <c r="V13" s="163"/>
      <c r="W13" s="83">
        <f>SUM(S13+T12+U12+V12)</f>
        <v>189743.15</v>
      </c>
    </row>
    <row r="14" spans="1:23" ht="12">
      <c r="A14" s="77" t="s">
        <v>190</v>
      </c>
      <c r="B14" s="78"/>
      <c r="C14" s="79"/>
      <c r="D14" s="78"/>
      <c r="E14" s="80"/>
      <c r="F14" s="80"/>
      <c r="G14" s="80"/>
      <c r="H14" s="80"/>
      <c r="I14" s="80"/>
      <c r="J14" s="78"/>
      <c r="K14" s="79"/>
      <c r="L14" s="79"/>
      <c r="M14" s="79"/>
      <c r="N14" s="79"/>
      <c r="O14" s="79"/>
      <c r="P14" s="79"/>
      <c r="Q14" s="79"/>
      <c r="R14" s="79"/>
      <c r="S14" s="79"/>
      <c r="T14" s="73"/>
      <c r="U14" s="161"/>
      <c r="V14" s="161"/>
      <c r="W14" s="161"/>
    </row>
    <row r="15" spans="1:23" ht="12">
      <c r="A15" s="58" t="s">
        <v>191</v>
      </c>
      <c r="B15" s="59" t="s">
        <v>260</v>
      </c>
      <c r="C15" s="60">
        <v>579.98</v>
      </c>
      <c r="D15" s="59" t="s">
        <v>261</v>
      </c>
      <c r="E15" s="70">
        <v>1159.97</v>
      </c>
      <c r="F15" s="59" t="s">
        <v>261</v>
      </c>
      <c r="G15" s="70">
        <f>SUM(E15)</f>
        <v>1159.97</v>
      </c>
      <c r="H15" s="59" t="s">
        <v>260</v>
      </c>
      <c r="I15" s="60">
        <f>SUM(C15)</f>
        <v>579.98</v>
      </c>
      <c r="J15" s="59" t="s">
        <v>262</v>
      </c>
      <c r="K15" s="60">
        <f>SUM(57998.68*0.0005)</f>
        <v>28.99934</v>
      </c>
      <c r="L15" s="60">
        <v>1065</v>
      </c>
      <c r="M15" s="60">
        <v>532</v>
      </c>
      <c r="N15" s="60">
        <v>267</v>
      </c>
      <c r="O15" s="60"/>
      <c r="P15" s="60">
        <f aca="true" t="shared" si="3" ref="P15:P20">SUM(C15:O15)</f>
        <v>5372.89934</v>
      </c>
      <c r="Q15" s="60"/>
      <c r="R15" s="60"/>
      <c r="S15" s="60"/>
      <c r="T15" s="161"/>
      <c r="U15" s="161"/>
      <c r="V15" s="161"/>
      <c r="W15" s="161"/>
    </row>
    <row r="16" spans="1:23" ht="12">
      <c r="A16" s="58" t="s">
        <v>170</v>
      </c>
      <c r="B16" s="59" t="s">
        <v>263</v>
      </c>
      <c r="C16" s="60">
        <v>1936.48</v>
      </c>
      <c r="D16" s="59" t="s">
        <v>263</v>
      </c>
      <c r="E16" s="70">
        <f>SUM(C16)</f>
        <v>1936.48</v>
      </c>
      <c r="F16" s="59" t="s">
        <v>263</v>
      </c>
      <c r="G16" s="70">
        <f>SUM(E16)</f>
        <v>1936.48</v>
      </c>
      <c r="H16" s="59" t="s">
        <v>263</v>
      </c>
      <c r="I16" s="70">
        <f>SUM(C16)</f>
        <v>1936.48</v>
      </c>
      <c r="J16" s="59" t="s">
        <v>264</v>
      </c>
      <c r="K16" s="60">
        <v>38</v>
      </c>
      <c r="L16" s="60">
        <v>1847</v>
      </c>
      <c r="M16" s="60">
        <v>738</v>
      </c>
      <c r="N16" s="60">
        <v>107</v>
      </c>
      <c r="O16" s="60"/>
      <c r="P16" s="60">
        <f t="shared" si="3"/>
        <v>10475.92</v>
      </c>
      <c r="Q16" s="60"/>
      <c r="R16" s="60"/>
      <c r="S16" s="60"/>
      <c r="T16" s="92"/>
      <c r="U16" s="92"/>
      <c r="V16" s="92"/>
      <c r="W16" s="92"/>
    </row>
    <row r="17" spans="1:23" ht="12">
      <c r="A17" s="58" t="s">
        <v>2</v>
      </c>
      <c r="B17" s="59" t="s">
        <v>265</v>
      </c>
      <c r="C17" s="60">
        <v>673.36</v>
      </c>
      <c r="D17" s="59" t="s">
        <v>266</v>
      </c>
      <c r="E17" s="70">
        <v>1347</v>
      </c>
      <c r="F17" s="59" t="s">
        <v>266</v>
      </c>
      <c r="G17" s="70">
        <f>SUM(E17)</f>
        <v>1347</v>
      </c>
      <c r="H17" s="59" t="s">
        <v>265</v>
      </c>
      <c r="I17" s="60">
        <f>SUM(C17)</f>
        <v>673.36</v>
      </c>
      <c r="J17" s="59" t="s">
        <v>267</v>
      </c>
      <c r="K17" s="60">
        <f>SUM(70384*0.005)</f>
        <v>351.92</v>
      </c>
      <c r="L17" s="70">
        <v>1196</v>
      </c>
      <c r="M17" s="60">
        <v>598</v>
      </c>
      <c r="N17" s="60">
        <v>299</v>
      </c>
      <c r="O17" s="60"/>
      <c r="P17" s="60">
        <f t="shared" si="3"/>
        <v>6485.64</v>
      </c>
      <c r="Q17" s="60"/>
      <c r="R17" s="60"/>
      <c r="S17" s="60"/>
      <c r="T17" s="92"/>
      <c r="U17" s="92"/>
      <c r="V17" s="92"/>
      <c r="W17" s="92"/>
    </row>
    <row r="18" spans="1:23" ht="12">
      <c r="A18" s="58" t="s">
        <v>268</v>
      </c>
      <c r="B18" s="59" t="s">
        <v>269</v>
      </c>
      <c r="C18" s="60">
        <f>SUM(36.76*3)</f>
        <v>110.28</v>
      </c>
      <c r="D18" s="59" t="s">
        <v>269</v>
      </c>
      <c r="E18" s="60">
        <f>SUM(C18)</f>
        <v>110.28</v>
      </c>
      <c r="F18" s="59" t="s">
        <v>269</v>
      </c>
      <c r="G18" s="60">
        <v>110</v>
      </c>
      <c r="H18" s="59" t="s">
        <v>269</v>
      </c>
      <c r="I18" s="60">
        <v>110</v>
      </c>
      <c r="J18" s="59" t="s">
        <v>269</v>
      </c>
      <c r="K18" s="60">
        <v>110</v>
      </c>
      <c r="L18" s="60">
        <v>354</v>
      </c>
      <c r="M18" s="60">
        <v>106</v>
      </c>
      <c r="N18" s="60">
        <v>106</v>
      </c>
      <c r="O18" s="60"/>
      <c r="P18" s="60">
        <f t="shared" si="3"/>
        <v>1116.56</v>
      </c>
      <c r="Q18" s="60"/>
      <c r="R18" s="60"/>
      <c r="S18" s="60"/>
      <c r="T18" s="92"/>
      <c r="U18" s="92"/>
      <c r="V18" s="92"/>
      <c r="W18" s="92"/>
    </row>
    <row r="19" spans="1:23" ht="12">
      <c r="A19" s="58"/>
      <c r="B19" s="59"/>
      <c r="C19" s="60"/>
      <c r="D19" s="59"/>
      <c r="E19" s="70"/>
      <c r="F19" s="70"/>
      <c r="G19" s="70"/>
      <c r="H19" s="70"/>
      <c r="I19" s="70"/>
      <c r="J19" s="59"/>
      <c r="K19" s="60"/>
      <c r="L19" s="60"/>
      <c r="M19" s="60"/>
      <c r="N19" s="60"/>
      <c r="O19" s="60"/>
      <c r="P19" s="60">
        <f t="shared" si="3"/>
        <v>0</v>
      </c>
      <c r="Q19" s="60"/>
      <c r="R19" s="60"/>
      <c r="S19" s="60"/>
      <c r="T19" s="162"/>
      <c r="U19" s="162"/>
      <c r="V19" s="162"/>
      <c r="W19" s="162"/>
    </row>
    <row r="20" spans="1:23" ht="12.75" thickBot="1">
      <c r="A20" s="63"/>
      <c r="B20" s="64"/>
      <c r="C20" s="65"/>
      <c r="D20" s="64"/>
      <c r="E20" s="86"/>
      <c r="F20" s="86"/>
      <c r="G20" s="86"/>
      <c r="H20" s="86"/>
      <c r="I20" s="86"/>
      <c r="J20" s="64"/>
      <c r="K20" s="65"/>
      <c r="L20" s="65"/>
      <c r="M20" s="65"/>
      <c r="N20" s="65"/>
      <c r="O20" s="65"/>
      <c r="P20" s="65">
        <f t="shared" si="3"/>
        <v>0</v>
      </c>
      <c r="Q20" s="65"/>
      <c r="R20" s="65"/>
      <c r="S20" s="65"/>
      <c r="T20" s="103"/>
      <c r="U20" s="103"/>
      <c r="V20" s="103"/>
      <c r="W20" s="103"/>
    </row>
    <row r="21" spans="1:23" ht="12">
      <c r="A21" s="77" t="s">
        <v>192</v>
      </c>
      <c r="B21" s="78"/>
      <c r="C21" s="84">
        <f>SUM(C13:C20)</f>
        <v>5747.139999999999</v>
      </c>
      <c r="D21" s="78"/>
      <c r="E21" s="84">
        <f>SUM(E13:E20)</f>
        <v>5449.7300000000005</v>
      </c>
      <c r="F21" s="84"/>
      <c r="G21" s="84">
        <f>SUM(G13:G20)</f>
        <v>7363.6900000000005</v>
      </c>
      <c r="H21" s="84"/>
      <c r="I21" s="84">
        <f>SUM(I13:I20)</f>
        <v>5535.57</v>
      </c>
      <c r="J21" s="78"/>
      <c r="K21" s="84">
        <f>SUM(K13:K20)</f>
        <v>1889.9593400000003</v>
      </c>
      <c r="L21" s="84">
        <f>SUM(L13:L20)</f>
        <v>24095</v>
      </c>
      <c r="M21" s="84">
        <f>SUM(M13:M20)</f>
        <v>3653</v>
      </c>
      <c r="N21" s="85"/>
      <c r="O21" s="79"/>
      <c r="P21" s="79">
        <f>SUM(P15:P20)</f>
        <v>23451.019340000003</v>
      </c>
      <c r="Q21" s="79" t="s">
        <v>193</v>
      </c>
      <c r="R21" s="79"/>
      <c r="S21" s="79"/>
      <c r="T21" s="162"/>
      <c r="U21" s="162"/>
      <c r="V21" s="162"/>
      <c r="W21" s="162"/>
    </row>
    <row r="22" spans="1:23" ht="12">
      <c r="A22" s="74"/>
      <c r="B22" s="59"/>
      <c r="C22" s="60"/>
      <c r="D22" s="59"/>
      <c r="E22" s="58"/>
      <c r="F22" s="58"/>
      <c r="G22" s="58"/>
      <c r="H22" s="58"/>
      <c r="I22" s="58"/>
      <c r="J22" s="59"/>
      <c r="K22" s="60"/>
      <c r="L22" s="58"/>
      <c r="M22" s="58"/>
      <c r="N22" s="58"/>
      <c r="O22" s="60"/>
      <c r="P22" s="60">
        <v>4015</v>
      </c>
      <c r="Q22" s="60" t="s">
        <v>194</v>
      </c>
      <c r="R22" s="60"/>
      <c r="S22" s="60"/>
      <c r="T22" s="92"/>
      <c r="U22" s="92"/>
      <c r="V22" s="92"/>
      <c r="W22" s="92"/>
    </row>
    <row r="23" spans="1:23" ht="12">
      <c r="A23" s="74"/>
      <c r="B23" s="59"/>
      <c r="C23" s="60"/>
      <c r="D23" s="59"/>
      <c r="E23" s="58"/>
      <c r="F23" s="58"/>
      <c r="G23" s="58"/>
      <c r="H23" s="58"/>
      <c r="I23" s="58"/>
      <c r="J23" s="59"/>
      <c r="K23" s="60"/>
      <c r="L23" s="58"/>
      <c r="M23" s="58"/>
      <c r="N23" s="58"/>
      <c r="O23" s="60"/>
      <c r="P23" s="60">
        <v>2492</v>
      </c>
      <c r="Q23" s="60" t="s">
        <v>195</v>
      </c>
      <c r="R23" s="60"/>
      <c r="S23" s="60"/>
      <c r="T23" s="92"/>
      <c r="U23" s="92"/>
      <c r="V23" s="92"/>
      <c r="W23" s="92"/>
    </row>
    <row r="24" spans="1:23" ht="12">
      <c r="A24" s="58" t="s">
        <v>16</v>
      </c>
      <c r="B24" s="75">
        <v>29805</v>
      </c>
      <c r="C24" s="60"/>
      <c r="D24" s="59" t="s">
        <v>196</v>
      </c>
      <c r="E24" s="58"/>
      <c r="F24" s="58"/>
      <c r="G24" s="58"/>
      <c r="H24" s="58"/>
      <c r="I24" s="58"/>
      <c r="J24" s="59"/>
      <c r="K24" s="60"/>
      <c r="L24" s="58"/>
      <c r="M24" s="58"/>
      <c r="N24" s="58"/>
      <c r="O24" s="60"/>
      <c r="P24" s="73">
        <f>SUM(P21:P23)</f>
        <v>29958.019340000003</v>
      </c>
      <c r="Q24" s="73" t="s">
        <v>197</v>
      </c>
      <c r="R24" s="73"/>
      <c r="S24" s="60"/>
      <c r="T24" s="92"/>
      <c r="U24" s="92"/>
      <c r="V24" s="92"/>
      <c r="W24" s="92"/>
    </row>
    <row r="25" spans="1:23" ht="12">
      <c r="A25" s="58" t="s">
        <v>17</v>
      </c>
      <c r="B25" s="75">
        <v>11672.19</v>
      </c>
      <c r="C25" s="60"/>
      <c r="D25" s="59" t="s">
        <v>196</v>
      </c>
      <c r="E25" s="58"/>
      <c r="F25" s="58"/>
      <c r="G25" s="58"/>
      <c r="H25" s="58"/>
      <c r="I25" s="58"/>
      <c r="J25" s="59"/>
      <c r="K25" s="60"/>
      <c r="L25" s="58"/>
      <c r="M25" s="58"/>
      <c r="N25" s="58"/>
      <c r="O25" s="60"/>
      <c r="P25" s="60"/>
      <c r="Q25" s="60"/>
      <c r="R25" s="60"/>
      <c r="S25" s="60"/>
      <c r="T25" s="92"/>
      <c r="U25" s="92"/>
      <c r="V25" s="92"/>
      <c r="W25" s="92"/>
    </row>
    <row r="26" spans="1:23" ht="12">
      <c r="A26" s="58" t="s">
        <v>21</v>
      </c>
      <c r="B26" s="75">
        <v>24518</v>
      </c>
      <c r="C26" s="60"/>
      <c r="D26" s="59" t="s">
        <v>196</v>
      </c>
      <c r="E26" s="58"/>
      <c r="F26" s="58"/>
      <c r="G26" s="58"/>
      <c r="H26" s="58"/>
      <c r="I26" s="58"/>
      <c r="J26" s="59"/>
      <c r="K26" s="60"/>
      <c r="L26" s="58"/>
      <c r="M26" s="58"/>
      <c r="N26" s="58"/>
      <c r="O26" s="60"/>
      <c r="P26" s="60"/>
      <c r="Q26" s="60"/>
      <c r="R26" s="60"/>
      <c r="S26" s="60"/>
      <c r="T26" s="92"/>
      <c r="U26" s="92"/>
      <c r="V26" s="92"/>
      <c r="W26" s="92"/>
    </row>
    <row r="27" spans="1:23" ht="12">
      <c r="A27" s="58" t="s">
        <v>18</v>
      </c>
      <c r="B27" s="75">
        <v>8464.55</v>
      </c>
      <c r="C27" s="60"/>
      <c r="D27" s="59" t="s">
        <v>196</v>
      </c>
      <c r="E27" s="58"/>
      <c r="F27" s="58"/>
      <c r="G27" s="58">
        <f>SUM(56301*0.01)</f>
        <v>563.01</v>
      </c>
      <c r="H27" s="58"/>
      <c r="I27" s="58"/>
      <c r="J27" s="59"/>
      <c r="K27" s="60"/>
      <c r="L27" s="58"/>
      <c r="M27" s="58"/>
      <c r="N27" s="58"/>
      <c r="O27" s="60"/>
      <c r="P27" s="60"/>
      <c r="Q27" s="60"/>
      <c r="R27" s="60"/>
      <c r="S27" s="60"/>
      <c r="T27" s="92"/>
      <c r="U27" s="92"/>
      <c r="V27" s="92"/>
      <c r="W27" s="92"/>
    </row>
    <row r="28" spans="1:23" ht="12">
      <c r="A28" s="58" t="s">
        <v>13</v>
      </c>
      <c r="B28" s="75">
        <v>9264</v>
      </c>
      <c r="C28" s="60"/>
      <c r="D28" s="59"/>
      <c r="E28" s="58"/>
      <c r="F28" s="58"/>
      <c r="G28" s="58"/>
      <c r="H28" s="58"/>
      <c r="I28" s="58"/>
      <c r="J28" s="59"/>
      <c r="K28" s="60"/>
      <c r="L28" s="58"/>
      <c r="M28" s="58"/>
      <c r="N28" s="58"/>
      <c r="O28" s="60"/>
      <c r="P28" s="60"/>
      <c r="Q28" s="60"/>
      <c r="R28" s="60"/>
      <c r="S28" s="60"/>
      <c r="T28" s="92"/>
      <c r="U28" s="92"/>
      <c r="V28" s="92"/>
      <c r="W28" s="92"/>
    </row>
    <row r="29" spans="1:23" ht="12">
      <c r="A29" s="58" t="s">
        <v>198</v>
      </c>
      <c r="B29" s="75">
        <v>10755.6</v>
      </c>
      <c r="C29" s="60"/>
      <c r="D29" s="69" t="s">
        <v>199</v>
      </c>
      <c r="E29" s="58"/>
      <c r="F29" s="58"/>
      <c r="G29" s="58"/>
      <c r="H29" s="58"/>
      <c r="I29" s="58"/>
      <c r="J29" s="59"/>
      <c r="K29" s="60"/>
      <c r="L29" s="58"/>
      <c r="M29" s="58"/>
      <c r="N29" s="58"/>
      <c r="O29" s="60"/>
      <c r="P29" s="60"/>
      <c r="Q29" s="60"/>
      <c r="R29" s="60"/>
      <c r="S29" s="60"/>
      <c r="T29" s="92"/>
      <c r="U29" s="92"/>
      <c r="V29" s="92"/>
      <c r="W29" s="92"/>
    </row>
    <row r="30" spans="1:23" ht="12">
      <c r="A30" s="58" t="s">
        <v>200</v>
      </c>
      <c r="B30" s="75">
        <v>4736.22</v>
      </c>
      <c r="C30" s="60"/>
      <c r="D30" s="69" t="s">
        <v>201</v>
      </c>
      <c r="E30" s="58"/>
      <c r="F30" s="58"/>
      <c r="G30" s="58"/>
      <c r="H30" s="58"/>
      <c r="I30" s="58"/>
      <c r="J30" s="59"/>
      <c r="K30" s="60"/>
      <c r="L30" s="58"/>
      <c r="M30" s="58"/>
      <c r="N30" s="58"/>
      <c r="O30" s="60"/>
      <c r="P30" s="60"/>
      <c r="Q30" s="60"/>
      <c r="R30" s="60"/>
      <c r="S30" s="60"/>
      <c r="T30" s="92"/>
      <c r="U30" s="92"/>
      <c r="V30" s="92"/>
      <c r="W30" s="92"/>
    </row>
    <row r="31" spans="1:23" ht="12">
      <c r="A31" s="58" t="s">
        <v>202</v>
      </c>
      <c r="B31" s="75">
        <v>20140.5</v>
      </c>
      <c r="C31" s="60"/>
      <c r="D31" s="69" t="s">
        <v>203</v>
      </c>
      <c r="E31" s="58"/>
      <c r="F31" s="58"/>
      <c r="G31" s="58"/>
      <c r="H31" s="58"/>
      <c r="I31" s="58"/>
      <c r="J31" s="59"/>
      <c r="K31" s="60"/>
      <c r="L31" s="58"/>
      <c r="M31" s="58"/>
      <c r="N31" s="58"/>
      <c r="O31" s="60"/>
      <c r="P31" s="60"/>
      <c r="Q31" s="60"/>
      <c r="R31" s="60"/>
      <c r="S31" s="60"/>
      <c r="T31" s="162"/>
      <c r="U31" s="162"/>
      <c r="V31" s="162"/>
      <c r="W31" s="162"/>
    </row>
    <row r="32" spans="1:23" ht="12">
      <c r="A32" s="58" t="s">
        <v>204</v>
      </c>
      <c r="B32" s="75">
        <v>8858.84</v>
      </c>
      <c r="C32" s="60"/>
      <c r="D32" s="69" t="s">
        <v>203</v>
      </c>
      <c r="E32" s="58"/>
      <c r="F32" s="58"/>
      <c r="G32" s="58"/>
      <c r="H32" s="58"/>
      <c r="I32" s="58"/>
      <c r="J32" s="59"/>
      <c r="K32" s="60"/>
      <c r="L32" s="58"/>
      <c r="M32" s="58"/>
      <c r="N32" s="58"/>
      <c r="O32" s="60"/>
      <c r="P32" s="60"/>
      <c r="Q32" s="60"/>
      <c r="R32" s="60"/>
      <c r="S32" s="60"/>
      <c r="T32" s="92"/>
      <c r="U32" s="92"/>
      <c r="V32" s="92"/>
      <c r="W32" s="92"/>
    </row>
    <row r="33" spans="1:23" ht="12">
      <c r="A33" s="58" t="s">
        <v>205</v>
      </c>
      <c r="B33" s="75">
        <v>9619.6</v>
      </c>
      <c r="C33" s="60"/>
      <c r="D33" s="69" t="s">
        <v>206</v>
      </c>
      <c r="E33" s="58"/>
      <c r="F33" s="58"/>
      <c r="G33" s="58"/>
      <c r="H33" s="58"/>
      <c r="I33" s="58"/>
      <c r="J33" s="59"/>
      <c r="K33" s="60"/>
      <c r="L33" s="58"/>
      <c r="M33" s="58"/>
      <c r="N33" s="58"/>
      <c r="O33" s="60"/>
      <c r="P33" s="60"/>
      <c r="Q33" s="60"/>
      <c r="R33" s="60"/>
      <c r="S33" s="60"/>
      <c r="T33" s="92"/>
      <c r="U33" s="92"/>
      <c r="V33" s="92"/>
      <c r="W33" s="92"/>
    </row>
    <row r="34" spans="1:23" ht="12">
      <c r="A34" s="58" t="s">
        <v>207</v>
      </c>
      <c r="B34" s="75">
        <v>3847.65</v>
      </c>
      <c r="C34" s="60"/>
      <c r="D34" s="59"/>
      <c r="E34" s="58"/>
      <c r="F34" s="58"/>
      <c r="G34" s="58"/>
      <c r="H34" s="58"/>
      <c r="I34" s="58"/>
      <c r="J34" s="59"/>
      <c r="K34" s="60"/>
      <c r="L34" s="58"/>
      <c r="M34" s="58"/>
      <c r="N34" s="58"/>
      <c r="O34" s="60"/>
      <c r="P34" s="60"/>
      <c r="Q34" s="60"/>
      <c r="R34" s="60"/>
      <c r="S34" s="60"/>
      <c r="T34" s="92"/>
      <c r="U34" s="92"/>
      <c r="V34" s="92"/>
      <c r="W34" s="92"/>
    </row>
    <row r="35" spans="1:23" ht="12">
      <c r="A35" s="58" t="s">
        <v>208</v>
      </c>
      <c r="B35" s="75">
        <v>2990.55</v>
      </c>
      <c r="C35" s="60"/>
      <c r="D35" s="69" t="s">
        <v>209</v>
      </c>
      <c r="E35" s="58"/>
      <c r="F35" s="58"/>
      <c r="G35" s="58"/>
      <c r="H35" s="58"/>
      <c r="I35" s="58"/>
      <c r="J35" s="59"/>
      <c r="K35" s="60"/>
      <c r="L35" s="58"/>
      <c r="M35" s="58"/>
      <c r="N35" s="58"/>
      <c r="O35" s="60"/>
      <c r="P35" s="60"/>
      <c r="Q35" s="60"/>
      <c r="R35" s="60"/>
      <c r="S35" s="60"/>
      <c r="T35" s="92"/>
      <c r="U35" s="92"/>
      <c r="V35" s="92"/>
      <c r="W35" s="92"/>
    </row>
    <row r="36" spans="1:23" ht="12">
      <c r="A36" s="58" t="s">
        <v>210</v>
      </c>
      <c r="B36" s="75">
        <v>832.52</v>
      </c>
      <c r="C36" s="60"/>
      <c r="D36" s="69" t="s">
        <v>209</v>
      </c>
      <c r="E36" s="58"/>
      <c r="F36" s="58"/>
      <c r="G36" s="58"/>
      <c r="H36" s="58"/>
      <c r="I36" s="58"/>
      <c r="J36" s="59"/>
      <c r="K36" s="60"/>
      <c r="L36" s="58"/>
      <c r="M36" s="58"/>
      <c r="N36" s="58"/>
      <c r="O36" s="60"/>
      <c r="P36" s="60"/>
      <c r="Q36" s="60"/>
      <c r="R36" s="60"/>
      <c r="S36" s="60"/>
      <c r="T36" s="92"/>
      <c r="U36" s="92"/>
      <c r="V36" s="92"/>
      <c r="W36" s="92"/>
    </row>
    <row r="37" spans="1:23" ht="12">
      <c r="A37" s="58" t="s">
        <v>31</v>
      </c>
      <c r="B37" s="75">
        <v>4689</v>
      </c>
      <c r="C37" s="60"/>
      <c r="D37" s="59"/>
      <c r="E37" s="58"/>
      <c r="F37" s="58"/>
      <c r="G37" s="58"/>
      <c r="H37" s="58"/>
      <c r="I37" s="58"/>
      <c r="J37" s="59"/>
      <c r="K37" s="60"/>
      <c r="L37" s="58"/>
      <c r="M37" s="58"/>
      <c r="N37" s="58"/>
      <c r="O37" s="60"/>
      <c r="P37" s="60"/>
      <c r="Q37" s="60"/>
      <c r="R37" s="60"/>
      <c r="S37" s="60"/>
      <c r="T37" s="92"/>
      <c r="U37" s="92"/>
      <c r="V37" s="92"/>
      <c r="W37" s="92"/>
    </row>
    <row r="38" spans="1:23" ht="12">
      <c r="A38" s="58" t="s">
        <v>211</v>
      </c>
      <c r="B38" s="75">
        <v>29359</v>
      </c>
      <c r="C38" s="60"/>
      <c r="D38" s="59"/>
      <c r="E38" s="58"/>
      <c r="F38" s="58"/>
      <c r="G38" s="58"/>
      <c r="H38" s="58"/>
      <c r="I38" s="58"/>
      <c r="J38" s="59"/>
      <c r="K38" s="60"/>
      <c r="L38" s="58"/>
      <c r="M38" s="58"/>
      <c r="N38" s="58"/>
      <c r="O38" s="60"/>
      <c r="P38" s="60"/>
      <c r="Q38" s="60"/>
      <c r="R38" s="60"/>
      <c r="S38" s="60"/>
      <c r="T38" s="92"/>
      <c r="U38" s="92"/>
      <c r="V38" s="92"/>
      <c r="W38" s="92"/>
    </row>
    <row r="39" spans="1:23" ht="12">
      <c r="A39" s="58" t="s">
        <v>212</v>
      </c>
      <c r="B39" s="76">
        <f>SUM(B24:B38)</f>
        <v>179553.21999999997</v>
      </c>
      <c r="C39" s="60"/>
      <c r="D39" s="59"/>
      <c r="E39" s="58"/>
      <c r="F39" s="58"/>
      <c r="G39" s="58"/>
      <c r="H39" s="58"/>
      <c r="I39" s="58"/>
      <c r="J39" s="59"/>
      <c r="K39" s="60"/>
      <c r="L39" s="58"/>
      <c r="M39" s="58"/>
      <c r="N39" s="58"/>
      <c r="O39" s="60"/>
      <c r="P39" s="60"/>
      <c r="Q39" s="60"/>
      <c r="R39" s="60"/>
      <c r="S39" s="60"/>
      <c r="T39" s="92"/>
      <c r="U39" s="92"/>
      <c r="V39" s="92"/>
      <c r="W39" s="92"/>
    </row>
    <row r="40" spans="1:23" ht="12">
      <c r="A40" s="72" t="s">
        <v>213</v>
      </c>
      <c r="B40" s="75">
        <f>S13</f>
        <v>32826.07</v>
      </c>
      <c r="C40" s="60"/>
      <c r="D40" s="59"/>
      <c r="E40" s="58"/>
      <c r="F40" s="58"/>
      <c r="G40" s="58"/>
      <c r="H40" s="58"/>
      <c r="I40" s="58"/>
      <c r="J40" s="59"/>
      <c r="K40" s="60"/>
      <c r="L40" s="58"/>
      <c r="M40" s="58"/>
      <c r="N40" s="58"/>
      <c r="O40" s="60"/>
      <c r="P40" s="60"/>
      <c r="Q40" s="60"/>
      <c r="R40" s="60"/>
      <c r="S40" s="60"/>
      <c r="T40" s="92"/>
      <c r="U40" s="92"/>
      <c r="V40" s="92"/>
      <c r="W40" s="92"/>
    </row>
    <row r="41" spans="1:23" ht="12">
      <c r="A41" s="72" t="s">
        <v>214</v>
      </c>
      <c r="B41" s="75">
        <f>P21</f>
        <v>23451.019340000003</v>
      </c>
      <c r="C41" s="60"/>
      <c r="D41" s="59"/>
      <c r="E41" s="58"/>
      <c r="F41" s="58"/>
      <c r="G41" s="58"/>
      <c r="H41" s="58"/>
      <c r="I41" s="58"/>
      <c r="J41" s="59"/>
      <c r="K41" s="60"/>
      <c r="L41" s="58"/>
      <c r="M41" s="58"/>
      <c r="N41" s="58"/>
      <c r="O41" s="60"/>
      <c r="P41" s="60"/>
      <c r="Q41" s="60"/>
      <c r="R41" s="60"/>
      <c r="S41" s="60"/>
      <c r="T41" s="92"/>
      <c r="U41" s="92"/>
      <c r="V41" s="92"/>
      <c r="W41" s="92"/>
    </row>
    <row r="42" spans="1:23" ht="12">
      <c r="A42" s="72" t="s">
        <v>215</v>
      </c>
      <c r="B42" s="76">
        <f>B39-(B40+B41)</f>
        <v>123276.13065999997</v>
      </c>
      <c r="C42" s="60" t="s">
        <v>216</v>
      </c>
      <c r="D42" s="69" t="s">
        <v>217</v>
      </c>
      <c r="E42" s="58"/>
      <c r="F42" s="58"/>
      <c r="G42" s="58"/>
      <c r="H42" s="58"/>
      <c r="I42" s="58"/>
      <c r="J42" s="59"/>
      <c r="K42" s="60"/>
      <c r="L42" s="58"/>
      <c r="M42" s="58"/>
      <c r="N42" s="58"/>
      <c r="O42" s="60"/>
      <c r="P42" s="60"/>
      <c r="Q42" s="60"/>
      <c r="R42" s="60"/>
      <c r="S42" s="60"/>
      <c r="T42" s="92"/>
      <c r="U42" s="92"/>
      <c r="V42" s="92"/>
      <c r="W42" s="92"/>
    </row>
    <row r="43" spans="1:23" ht="12.75" thickBot="1">
      <c r="A43" s="82"/>
      <c r="B43" s="87"/>
      <c r="C43" s="65"/>
      <c r="D43" s="64"/>
      <c r="E43" s="63"/>
      <c r="F43" s="63"/>
      <c r="G43" s="63"/>
      <c r="H43" s="63"/>
      <c r="I43" s="63"/>
      <c r="J43" s="64"/>
      <c r="K43" s="65"/>
      <c r="L43" s="63"/>
      <c r="M43" s="63"/>
      <c r="N43" s="63"/>
      <c r="O43" s="65"/>
      <c r="P43" s="65"/>
      <c r="Q43" s="65"/>
      <c r="R43" s="65"/>
      <c r="S43" s="65"/>
      <c r="T43" s="92"/>
      <c r="U43" s="92"/>
      <c r="V43" s="92"/>
      <c r="W43" s="92"/>
    </row>
    <row r="44" spans="1:23" ht="12">
      <c r="A44" s="119"/>
      <c r="B44" s="120"/>
      <c r="C44" s="121"/>
      <c r="D44" s="122"/>
      <c r="E44" s="121"/>
      <c r="F44" s="123"/>
      <c r="G44" s="121"/>
      <c r="H44" s="123"/>
      <c r="I44" s="121"/>
      <c r="J44" s="122"/>
      <c r="K44" s="124"/>
      <c r="L44" s="125"/>
      <c r="M44" s="125"/>
      <c r="N44" s="125"/>
      <c r="O44" s="126"/>
      <c r="P44" s="124"/>
      <c r="Q44" s="127"/>
      <c r="R44" s="44"/>
      <c r="S44" s="79"/>
      <c r="T44" s="92"/>
      <c r="U44" s="92"/>
      <c r="V44" s="92"/>
      <c r="W44" s="92"/>
    </row>
    <row r="45" spans="1:23" ht="12">
      <c r="A45" s="109"/>
      <c r="B45" s="115"/>
      <c r="C45" s="115"/>
      <c r="D45" s="115"/>
      <c r="E45" s="115"/>
      <c r="F45" s="115"/>
      <c r="G45" s="115"/>
      <c r="H45" s="115"/>
      <c r="I45" s="115"/>
      <c r="J45" s="116"/>
      <c r="K45" s="117"/>
      <c r="L45" s="115"/>
      <c r="M45" s="115"/>
      <c r="N45" s="115"/>
      <c r="O45" s="128"/>
      <c r="P45" s="128"/>
      <c r="Q45" s="129"/>
      <c r="R45" s="89"/>
      <c r="S45" s="60"/>
      <c r="T45" s="92"/>
      <c r="U45" s="92"/>
      <c r="V45" s="92"/>
      <c r="W45" s="92"/>
    </row>
    <row r="46" spans="1:23" ht="12">
      <c r="A46" s="109"/>
      <c r="B46" s="115"/>
      <c r="C46" s="115"/>
      <c r="D46" s="115"/>
      <c r="E46" s="115"/>
      <c r="F46" s="115"/>
      <c r="G46" s="115"/>
      <c r="H46" s="115"/>
      <c r="I46" s="115"/>
      <c r="J46" s="116"/>
      <c r="K46" s="117"/>
      <c r="L46" s="115"/>
      <c r="M46" s="115"/>
      <c r="N46" s="115"/>
      <c r="O46" s="128"/>
      <c r="P46" s="128"/>
      <c r="Q46" s="129"/>
      <c r="R46" s="89"/>
      <c r="S46" s="60"/>
      <c r="T46" s="92"/>
      <c r="U46" s="92"/>
      <c r="V46" s="92"/>
      <c r="W46" s="92"/>
    </row>
    <row r="47" spans="1:23" ht="12">
      <c r="A47" s="109"/>
      <c r="B47" s="115"/>
      <c r="C47" s="115"/>
      <c r="D47" s="116"/>
      <c r="E47" s="115"/>
      <c r="F47" s="115"/>
      <c r="G47" s="115"/>
      <c r="H47" s="115"/>
      <c r="I47" s="115"/>
      <c r="J47" s="116"/>
      <c r="K47" s="117"/>
      <c r="L47" s="130"/>
      <c r="M47" s="115"/>
      <c r="N47" s="115"/>
      <c r="O47" s="118"/>
      <c r="P47" s="118"/>
      <c r="Q47" s="131"/>
      <c r="R47" s="90"/>
      <c r="S47" s="61"/>
      <c r="T47" s="92"/>
      <c r="U47" s="92"/>
      <c r="V47" s="92"/>
      <c r="W47" s="92"/>
    </row>
    <row r="48" spans="1:23" ht="12">
      <c r="A48" s="109"/>
      <c r="B48" s="115"/>
      <c r="C48" s="115"/>
      <c r="D48" s="116"/>
      <c r="E48" s="115"/>
      <c r="F48" s="115"/>
      <c r="G48" s="115"/>
      <c r="H48" s="115"/>
      <c r="I48" s="115"/>
      <c r="J48" s="116"/>
      <c r="K48" s="117"/>
      <c r="L48" s="130"/>
      <c r="M48" s="115"/>
      <c r="N48" s="115"/>
      <c r="O48" s="118"/>
      <c r="P48" s="118"/>
      <c r="Q48" s="131"/>
      <c r="R48" s="90"/>
      <c r="S48" s="61"/>
      <c r="T48" s="92"/>
      <c r="U48" s="92"/>
      <c r="V48" s="92"/>
      <c r="W48" s="92"/>
    </row>
    <row r="49" spans="1:19" ht="12.75" thickBot="1">
      <c r="A49" s="132"/>
      <c r="B49" s="133"/>
      <c r="C49" s="133"/>
      <c r="D49" s="134"/>
      <c r="E49" s="133"/>
      <c r="F49" s="133"/>
      <c r="G49" s="133"/>
      <c r="H49" s="133"/>
      <c r="I49" s="133"/>
      <c r="J49" s="134"/>
      <c r="K49" s="135"/>
      <c r="L49" s="133"/>
      <c r="M49" s="133"/>
      <c r="N49" s="133"/>
      <c r="O49" s="136"/>
      <c r="P49" s="136"/>
      <c r="Q49" s="137"/>
      <c r="R49" s="90"/>
      <c r="S49" s="61"/>
    </row>
    <row r="50" spans="1:19" ht="12">
      <c r="A50" s="85"/>
      <c r="B50" s="85"/>
      <c r="C50" s="85"/>
      <c r="D50" s="78"/>
      <c r="E50" s="85"/>
      <c r="F50" s="85"/>
      <c r="G50" s="85"/>
      <c r="H50" s="85"/>
      <c r="I50" s="85"/>
      <c r="J50" s="78"/>
      <c r="K50" s="79"/>
      <c r="L50" s="85"/>
      <c r="M50" s="85"/>
      <c r="N50" s="85"/>
      <c r="O50" s="88"/>
      <c r="P50" s="88"/>
      <c r="Q50" s="88"/>
      <c r="R50" s="61"/>
      <c r="S50" s="61"/>
    </row>
    <row r="51" spans="1:19" ht="12">
      <c r="A51" s="58"/>
      <c r="B51" s="58"/>
      <c r="C51" s="58"/>
      <c r="D51" s="59"/>
      <c r="E51" s="58"/>
      <c r="F51" s="58"/>
      <c r="G51" s="58"/>
      <c r="H51" s="58"/>
      <c r="I51" s="58"/>
      <c r="J51" s="59"/>
      <c r="K51" s="58"/>
      <c r="L51" s="58"/>
      <c r="M51" s="58"/>
      <c r="N51" s="58"/>
      <c r="O51" s="58"/>
      <c r="P51" s="58"/>
      <c r="Q51" s="58"/>
      <c r="R51" s="58"/>
      <c r="S51" s="58"/>
    </row>
    <row r="52" spans="1:19" ht="12">
      <c r="A52" s="58" t="s">
        <v>172</v>
      </c>
      <c r="B52" s="58"/>
      <c r="C52" s="58"/>
      <c r="D52" s="59"/>
      <c r="E52" s="58"/>
      <c r="F52" s="58"/>
      <c r="G52" s="58"/>
      <c r="H52" s="58"/>
      <c r="I52" s="58"/>
      <c r="J52" s="59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2">
      <c r="A53" s="58" t="s">
        <v>218</v>
      </c>
      <c r="B53" s="58"/>
      <c r="C53" s="58"/>
      <c r="D53" s="59"/>
      <c r="E53" s="58"/>
      <c r="F53" s="58"/>
      <c r="G53" s="58"/>
      <c r="H53" s="58"/>
      <c r="I53" s="58"/>
      <c r="J53" s="59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2">
      <c r="A54" s="58" t="s">
        <v>219</v>
      </c>
      <c r="B54" s="58"/>
      <c r="C54" s="58"/>
      <c r="D54" s="59"/>
      <c r="E54" s="58"/>
      <c r="F54" s="58"/>
      <c r="G54" s="58"/>
      <c r="H54" s="58"/>
      <c r="I54" s="58"/>
      <c r="J54" s="59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2">
      <c r="A55" s="58" t="s">
        <v>220</v>
      </c>
      <c r="B55" s="58"/>
      <c r="C55" s="58"/>
      <c r="D55" s="59"/>
      <c r="E55" s="58"/>
      <c r="F55" s="58"/>
      <c r="G55" s="58"/>
      <c r="H55" s="58"/>
      <c r="I55" s="58"/>
      <c r="J55" s="59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2">
      <c r="A56" s="58" t="s">
        <v>221</v>
      </c>
      <c r="B56" s="58"/>
      <c r="C56" s="58"/>
      <c r="D56" s="59"/>
      <c r="E56" s="58"/>
      <c r="F56" s="58"/>
      <c r="G56" s="58"/>
      <c r="H56" s="58"/>
      <c r="I56" s="58"/>
      <c r="J56" s="59"/>
      <c r="K56" s="58"/>
      <c r="L56" s="58"/>
      <c r="M56" s="58"/>
      <c r="N56" s="58"/>
      <c r="O56" s="58"/>
      <c r="P56" s="58"/>
      <c r="Q56" s="58"/>
      <c r="R56" s="58"/>
      <c r="S56" s="58"/>
    </row>
    <row r="57" ht="12">
      <c r="J57" s="6"/>
    </row>
    <row r="58" ht="12">
      <c r="J58" s="6"/>
    </row>
    <row r="59" ht="12">
      <c r="J59" s="6"/>
    </row>
    <row r="60" ht="12">
      <c r="J60" s="6"/>
    </row>
    <row r="61" ht="12">
      <c r="J61" s="6"/>
    </row>
    <row r="62" ht="12">
      <c r="J62" s="6"/>
    </row>
    <row r="63" ht="12">
      <c r="J63" s="6"/>
    </row>
    <row r="64" ht="12">
      <c r="J64" s="6"/>
    </row>
    <row r="65" ht="12">
      <c r="J65" s="6"/>
    </row>
    <row r="66" ht="12">
      <c r="J66" s="6"/>
    </row>
    <row r="67" ht="12">
      <c r="J67" s="6"/>
    </row>
    <row r="68" ht="12">
      <c r="J68" s="6"/>
    </row>
    <row r="69" ht="12">
      <c r="J69" s="6"/>
    </row>
    <row r="70" ht="12">
      <c r="J70" s="6"/>
    </row>
    <row r="71" ht="12">
      <c r="J71" s="6"/>
    </row>
    <row r="72" ht="12">
      <c r="J72" s="6"/>
    </row>
    <row r="73" ht="12">
      <c r="J73" s="6"/>
    </row>
    <row r="74" ht="12">
      <c r="J74" s="6"/>
    </row>
    <row r="75" ht="12">
      <c r="J75" s="6"/>
    </row>
    <row r="76" ht="12">
      <c r="J76" s="6"/>
    </row>
    <row r="77" ht="12">
      <c r="J77" s="6"/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5" scale="66" r:id="rId1"/>
  <headerFooter alignWithMargins="0">
    <oddHeader>&amp;RCecil Recreation Cost Analysis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view="pageLayout" zoomScaleNormal="125" workbookViewId="0" topLeftCell="A1">
      <selection activeCell="C2" sqref="C2:C9"/>
    </sheetView>
  </sheetViews>
  <sheetFormatPr defaultColWidth="9.140625" defaultRowHeight="12.75"/>
  <cols>
    <col min="1" max="1" width="20.7109375" style="9" customWidth="1"/>
    <col min="2" max="2" width="17.421875" style="9" customWidth="1"/>
    <col min="3" max="16384" width="9.140625" style="9" customWidth="1"/>
  </cols>
  <sheetData>
    <row r="1" spans="1:3" s="3" customFormat="1" ht="36" customHeight="1" thickBot="1">
      <c r="A1" s="194" t="s">
        <v>314</v>
      </c>
      <c r="B1" s="195"/>
      <c r="C1" s="176"/>
    </row>
    <row r="2" spans="1:3" s="3" customFormat="1" ht="12.75" customHeight="1">
      <c r="A2" s="177" t="s">
        <v>310</v>
      </c>
      <c r="B2" s="18">
        <v>1820</v>
      </c>
      <c r="C2" s="176" t="s">
        <v>322</v>
      </c>
    </row>
    <row r="3" spans="1:3" ht="12.75" customHeight="1">
      <c r="A3" s="177" t="s">
        <v>308</v>
      </c>
      <c r="B3" s="18">
        <v>543</v>
      </c>
      <c r="C3" s="178"/>
    </row>
    <row r="4" spans="1:3" ht="12.75" customHeight="1" thickBot="1">
      <c r="A4" s="177" t="s">
        <v>307</v>
      </c>
      <c r="B4" s="169">
        <v>19139.08</v>
      </c>
      <c r="C4" s="179"/>
    </row>
    <row r="5" spans="1:3" ht="12.75" customHeight="1" thickTop="1">
      <c r="A5" s="180" t="s">
        <v>309</v>
      </c>
      <c r="B5" s="20">
        <f>SUM(B2:B4)</f>
        <v>21502.08</v>
      </c>
      <c r="C5" s="181"/>
    </row>
    <row r="6" spans="1:3" ht="12.75" customHeight="1">
      <c r="A6" s="182"/>
      <c r="B6" s="20"/>
      <c r="C6" s="181"/>
    </row>
    <row r="7" spans="1:3" ht="12.75" customHeight="1">
      <c r="A7" s="183" t="s">
        <v>321</v>
      </c>
      <c r="B7" s="142">
        <v>25432</v>
      </c>
      <c r="C7" s="184">
        <v>1300</v>
      </c>
    </row>
    <row r="8" spans="1:3" s="15" customFormat="1" ht="12.75" customHeight="1" thickBot="1">
      <c r="A8" s="183" t="s">
        <v>312</v>
      </c>
      <c r="B8" s="167">
        <v>20860</v>
      </c>
      <c r="C8" s="185">
        <v>1300</v>
      </c>
    </row>
    <row r="9" spans="1:3" ht="12.75" customHeight="1" thickTop="1">
      <c r="A9" s="186" t="s">
        <v>313</v>
      </c>
      <c r="B9" s="20">
        <f>SUM(B7:B8)</f>
        <v>46292</v>
      </c>
      <c r="C9" s="187">
        <f>SUM(C7:C8)</f>
        <v>2600</v>
      </c>
    </row>
    <row r="10" spans="1:3" s="15" customFormat="1" ht="12.75" customHeight="1" thickBot="1">
      <c r="A10" s="188"/>
      <c r="B10" s="168"/>
      <c r="C10" s="198"/>
    </row>
    <row r="11" spans="1:3" s="15" customFormat="1" ht="12.75" customHeight="1" thickBot="1" thickTop="1">
      <c r="A11" s="190" t="s">
        <v>146</v>
      </c>
      <c r="B11" s="25">
        <f>SUM(B9,,B5,)</f>
        <v>67794.08</v>
      </c>
      <c r="C11" s="191"/>
    </row>
    <row r="12" ht="12.75" customHeight="1"/>
    <row r="13" ht="12.75" customHeight="1"/>
    <row r="14" ht="10.5" customHeight="1"/>
    <row r="15" ht="10.5" customHeight="1"/>
    <row r="16" ht="10.5" customHeight="1"/>
    <row r="17" ht="10.5" customHeight="1"/>
  </sheetData>
  <sheetProtection/>
  <printOptions gridLines="1"/>
  <pageMargins left="0.25" right="0.25" top="1" bottom="1" header="0.5" footer="0.5"/>
  <pageSetup fitToHeight="1" fitToWidth="1" horizontalDpi="600" verticalDpi="600" orientation="landscape" paperSize="5" r:id="rId1"/>
  <headerFooter alignWithMargins="0">
    <oddHeader>&amp;RClanzel Brown Cost Analysis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Jacksonville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QBledsoe</dc:creator>
  <cp:keywords/>
  <dc:description/>
  <cp:lastModifiedBy>Welsh, Rachel</cp:lastModifiedBy>
  <cp:lastPrinted>2013-08-27T18:37:22Z</cp:lastPrinted>
  <dcterms:created xsi:type="dcterms:W3CDTF">2008-02-12T15:48:34Z</dcterms:created>
  <dcterms:modified xsi:type="dcterms:W3CDTF">2013-08-28T12:36:29Z</dcterms:modified>
  <cp:category/>
  <cp:version/>
  <cp:contentType/>
  <cp:contentStatus/>
</cp:coreProperties>
</file>